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workbookProtection workbookPassword="D3B7" lockStructure="1"/>
  <bookViews>
    <workbookView xWindow="0" yWindow="0" windowWidth="16380" windowHeight="8190" tabRatio="733"/>
  </bookViews>
  <sheets>
    <sheet name="calcul empreinte foncière" sheetId="6" r:id="rId1"/>
    <sheet name="calcul bilan N" sheetId="7" r:id="rId2"/>
    <sheet name="IFT" sheetId="8" r:id="rId3"/>
    <sheet name="calcul énergies &amp; GES" sheetId="5" r:id="rId4"/>
    <sheet name="économique" sheetId="1" r:id="rId5"/>
    <sheet name="social" sheetId="2" r:id="rId6"/>
    <sheet name="environnement" sheetId="3" r:id="rId7"/>
    <sheet name="commentaires" sheetId="4" r:id="rId8"/>
  </sheets>
  <externalReferences>
    <externalReference r:id="rId9"/>
  </externalReferences>
  <definedNames>
    <definedName name="_xlnm_Print_Area" localSheetId="2">IFT!$A$2:$J$66</definedName>
    <definedName name="BV">IFT!$H$60</definedName>
    <definedName name="codesources">[1]Sources!$A$4:$A$12</definedName>
    <definedName name="_xlnm.Print_Area" localSheetId="1">'calcul bilan N'!$A$1:$N$535</definedName>
    <definedName name="_xlnm.Print_Area" localSheetId="7">commentaires!$A$1:$H$50</definedName>
    <definedName name="_xlnm.Print_Area" localSheetId="4">économique!$A$1:$H$47</definedName>
    <definedName name="_xlnm.Print_Area" localSheetId="6">environnement!$A$1:$H$49</definedName>
    <definedName name="_xlnm.Print_Area" localSheetId="2">IFT!$A$1:$F$55</definedName>
    <definedName name="_xlnm.Print_Area" localSheetId="5">social!$A$1:$H$65</definedName>
  </definedNames>
  <calcPr calcId="145621"/>
</workbook>
</file>

<file path=xl/calcChain.xml><?xml version="1.0" encoding="utf-8"?>
<calcChain xmlns="http://schemas.openxmlformats.org/spreadsheetml/2006/main">
  <c r="D41" i="6" l="1"/>
  <c r="D42" i="6"/>
  <c r="D43" i="6"/>
  <c r="D44" i="6"/>
  <c r="D45" i="6"/>
  <c r="D46" i="6"/>
  <c r="D47" i="6"/>
  <c r="H46" i="8" l="1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I16" i="8"/>
  <c r="H16" i="8"/>
  <c r="C13" i="8" s="1"/>
  <c r="H12" i="8"/>
  <c r="C12" i="8"/>
  <c r="H11" i="8"/>
  <c r="C11" i="8"/>
  <c r="D21" i="5" l="1"/>
  <c r="E26" i="5" l="1"/>
  <c r="E27" i="5"/>
  <c r="E28" i="5"/>
  <c r="E29" i="5"/>
  <c r="E30" i="5"/>
  <c r="E31" i="5"/>
  <c r="E32" i="5"/>
  <c r="E33" i="5"/>
  <c r="E25" i="5"/>
  <c r="D50" i="6"/>
  <c r="D51" i="6"/>
  <c r="D52" i="6"/>
  <c r="D53" i="6"/>
  <c r="D54" i="6"/>
  <c r="D55" i="6"/>
  <c r="D49" i="6"/>
  <c r="D48" i="6" s="1"/>
  <c r="E34" i="5" l="1"/>
  <c r="G40" i="5" s="1"/>
  <c r="G429" i="7"/>
  <c r="D429" i="7"/>
  <c r="D40" i="6"/>
  <c r="D39" i="6" s="1"/>
  <c r="D29" i="6"/>
  <c r="D30" i="6"/>
  <c r="D31" i="6"/>
  <c r="D32" i="6"/>
  <c r="D33" i="6"/>
  <c r="D34" i="6"/>
  <c r="D35" i="6"/>
  <c r="D36" i="6"/>
  <c r="D37" i="6"/>
  <c r="D38" i="6"/>
  <c r="D28" i="6"/>
  <c r="D20" i="6"/>
  <c r="D21" i="6"/>
  <c r="D22" i="6"/>
  <c r="D23" i="6"/>
  <c r="D24" i="6"/>
  <c r="D25" i="6"/>
  <c r="D26" i="6"/>
  <c r="D19" i="6"/>
  <c r="D6" i="6"/>
  <c r="D7" i="6"/>
  <c r="D8" i="6"/>
  <c r="D9" i="6"/>
  <c r="D10" i="6"/>
  <c r="D11" i="6"/>
  <c r="D12" i="6"/>
  <c r="D13" i="6"/>
  <c r="D14" i="6"/>
  <c r="D15" i="6"/>
  <c r="D16" i="6"/>
  <c r="D17" i="6"/>
  <c r="D5" i="6"/>
  <c r="F521" i="7"/>
  <c r="E521" i="7"/>
  <c r="D521" i="7"/>
  <c r="F491" i="7"/>
  <c r="J491" i="7" s="1"/>
  <c r="F455" i="7"/>
  <c r="F489" i="7"/>
  <c r="J489" i="7" s="1"/>
  <c r="F492" i="7"/>
  <c r="F493" i="7"/>
  <c r="G443" i="7"/>
  <c r="I441" i="7"/>
  <c r="H438" i="7"/>
  <c r="H444" i="7" s="1"/>
  <c r="G438" i="7"/>
  <c r="H433" i="7"/>
  <c r="I432" i="7"/>
  <c r="H432" i="7"/>
  <c r="D431" i="7"/>
  <c r="G431" i="7" s="1"/>
  <c r="D432" i="7"/>
  <c r="G432" i="7"/>
  <c r="D433" i="7"/>
  <c r="D430" i="7"/>
  <c r="G430" i="7" s="1"/>
  <c r="G434" i="7" s="1"/>
  <c r="G447" i="7" s="1"/>
  <c r="D513" i="7" s="1"/>
  <c r="H430" i="7"/>
  <c r="G386" i="7"/>
  <c r="F383" i="7"/>
  <c r="H415" i="7"/>
  <c r="D358" i="7"/>
  <c r="H358" i="7" s="1"/>
  <c r="D355" i="7"/>
  <c r="D347" i="7"/>
  <c r="H281" i="7"/>
  <c r="H337" i="7" s="1"/>
  <c r="H340" i="7" s="1"/>
  <c r="F510" i="7" s="1"/>
  <c r="F322" i="7"/>
  <c r="G325" i="7"/>
  <c r="H330" i="7"/>
  <c r="F330" i="7"/>
  <c r="F237" i="7"/>
  <c r="I268" i="7"/>
  <c r="H268" i="7"/>
  <c r="G268" i="7"/>
  <c r="I267" i="7"/>
  <c r="H261" i="7"/>
  <c r="H253" i="7"/>
  <c r="G248" i="7"/>
  <c r="F177" i="7"/>
  <c r="L177" i="7" s="1"/>
  <c r="F170" i="7"/>
  <c r="F167" i="7"/>
  <c r="L167" i="7"/>
  <c r="F165" i="7"/>
  <c r="F163" i="7"/>
  <c r="J163" i="7" s="1"/>
  <c r="D128" i="7"/>
  <c r="D130" i="7" s="1"/>
  <c r="C128" i="7"/>
  <c r="C130" i="7" s="1"/>
  <c r="J81" i="7"/>
  <c r="H78" i="7"/>
  <c r="I63" i="7"/>
  <c r="J54" i="7"/>
  <c r="I54" i="7"/>
  <c r="H54" i="7"/>
  <c r="J18" i="7"/>
  <c r="I18" i="7"/>
  <c r="H18" i="7"/>
  <c r="J17" i="7"/>
  <c r="I17" i="7"/>
  <c r="H17" i="7"/>
  <c r="J16" i="7"/>
  <c r="I16" i="7"/>
  <c r="H16" i="7"/>
  <c r="J40" i="7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F490" i="7"/>
  <c r="K490" i="7" s="1"/>
  <c r="J490" i="7"/>
  <c r="F488" i="7"/>
  <c r="L488" i="7"/>
  <c r="K488" i="7"/>
  <c r="F487" i="7"/>
  <c r="J487" i="7" s="1"/>
  <c r="L487" i="7"/>
  <c r="K487" i="7"/>
  <c r="F486" i="7"/>
  <c r="L486" i="7" s="1"/>
  <c r="F485" i="7"/>
  <c r="F484" i="7"/>
  <c r="L484" i="7" s="1"/>
  <c r="F483" i="7"/>
  <c r="J483" i="7" s="1"/>
  <c r="F482" i="7"/>
  <c r="F481" i="7"/>
  <c r="K481" i="7" s="1"/>
  <c r="F480" i="7"/>
  <c r="F479" i="7"/>
  <c r="K479" i="7" s="1"/>
  <c r="F478" i="7"/>
  <c r="F477" i="7"/>
  <c r="L477" i="7" s="1"/>
  <c r="K477" i="7"/>
  <c r="F476" i="7"/>
  <c r="L476" i="7"/>
  <c r="F475" i="7"/>
  <c r="F474" i="7"/>
  <c r="K474" i="7" s="1"/>
  <c r="F473" i="7"/>
  <c r="F472" i="7"/>
  <c r="L472" i="7" s="1"/>
  <c r="F471" i="7"/>
  <c r="L471" i="7"/>
  <c r="F470" i="7"/>
  <c r="L470" i="7" s="1"/>
  <c r="K470" i="7"/>
  <c r="F469" i="7"/>
  <c r="F468" i="7"/>
  <c r="K468" i="7" s="1"/>
  <c r="L468" i="7"/>
  <c r="F467" i="7"/>
  <c r="J467" i="7" s="1"/>
  <c r="F466" i="7"/>
  <c r="F465" i="7"/>
  <c r="F464" i="7"/>
  <c r="J464" i="7" s="1"/>
  <c r="F463" i="7"/>
  <c r="F462" i="7"/>
  <c r="K462" i="7" s="1"/>
  <c r="F461" i="7"/>
  <c r="J460" i="7"/>
  <c r="F460" i="7"/>
  <c r="F459" i="7"/>
  <c r="K459" i="7"/>
  <c r="F458" i="7"/>
  <c r="J458" i="7" s="1"/>
  <c r="F457" i="7"/>
  <c r="F456" i="7"/>
  <c r="K455" i="7"/>
  <c r="I443" i="7"/>
  <c r="H443" i="7"/>
  <c r="I442" i="7"/>
  <c r="H442" i="7"/>
  <c r="G442" i="7"/>
  <c r="H441" i="7"/>
  <c r="G441" i="7"/>
  <c r="I440" i="7"/>
  <c r="H440" i="7"/>
  <c r="G440" i="7"/>
  <c r="I439" i="7"/>
  <c r="H439" i="7"/>
  <c r="G439" i="7"/>
  <c r="G444" i="7"/>
  <c r="I438" i="7"/>
  <c r="I433" i="7"/>
  <c r="G433" i="7"/>
  <c r="I431" i="7"/>
  <c r="I434" i="7"/>
  <c r="H431" i="7"/>
  <c r="I430" i="7"/>
  <c r="I429" i="7"/>
  <c r="H429" i="7"/>
  <c r="H434" i="7" s="1"/>
  <c r="H447" i="7" s="1"/>
  <c r="E513" i="7" s="1"/>
  <c r="H420" i="7"/>
  <c r="G420" i="7"/>
  <c r="F420" i="7"/>
  <c r="H419" i="7"/>
  <c r="G419" i="7"/>
  <c r="F419" i="7"/>
  <c r="H418" i="7"/>
  <c r="G418" i="7"/>
  <c r="F418" i="7"/>
  <c r="H417" i="7"/>
  <c r="G417" i="7"/>
  <c r="F417" i="7"/>
  <c r="H416" i="7"/>
  <c r="G416" i="7"/>
  <c r="F416" i="7"/>
  <c r="G415" i="7"/>
  <c r="F415" i="7"/>
  <c r="H414" i="7"/>
  <c r="G414" i="7"/>
  <c r="F414" i="7"/>
  <c r="H413" i="7"/>
  <c r="G413" i="7"/>
  <c r="F413" i="7"/>
  <c r="H412" i="7"/>
  <c r="G412" i="7"/>
  <c r="F412" i="7"/>
  <c r="H411" i="7"/>
  <c r="G411" i="7"/>
  <c r="F411" i="7"/>
  <c r="H410" i="7"/>
  <c r="G410" i="7"/>
  <c r="F410" i="7"/>
  <c r="H409" i="7"/>
  <c r="G409" i="7"/>
  <c r="F409" i="7"/>
  <c r="H408" i="7"/>
  <c r="G408" i="7"/>
  <c r="F408" i="7"/>
  <c r="H407" i="7"/>
  <c r="G407" i="7"/>
  <c r="F407" i="7"/>
  <c r="H406" i="7"/>
  <c r="G406" i="7"/>
  <c r="F406" i="7"/>
  <c r="H405" i="7"/>
  <c r="G405" i="7"/>
  <c r="F405" i="7"/>
  <c r="H404" i="7"/>
  <c r="G404" i="7"/>
  <c r="F404" i="7"/>
  <c r="H403" i="7"/>
  <c r="G403" i="7"/>
  <c r="F403" i="7"/>
  <c r="H402" i="7"/>
  <c r="G402" i="7"/>
  <c r="F402" i="7"/>
  <c r="H401" i="7"/>
  <c r="G401" i="7"/>
  <c r="F401" i="7"/>
  <c r="H400" i="7"/>
  <c r="G400" i="7"/>
  <c r="F400" i="7"/>
  <c r="H399" i="7"/>
  <c r="G399" i="7"/>
  <c r="F399" i="7"/>
  <c r="H398" i="7"/>
  <c r="G398" i="7"/>
  <c r="F398" i="7"/>
  <c r="H397" i="7"/>
  <c r="G397" i="7"/>
  <c r="F397" i="7"/>
  <c r="H396" i="7"/>
  <c r="G396" i="7"/>
  <c r="F396" i="7"/>
  <c r="H395" i="7"/>
  <c r="G395" i="7"/>
  <c r="F395" i="7"/>
  <c r="H394" i="7"/>
  <c r="G394" i="7"/>
  <c r="F394" i="7"/>
  <c r="H393" i="7"/>
  <c r="G393" i="7"/>
  <c r="F393" i="7"/>
  <c r="H392" i="7"/>
  <c r="G392" i="7"/>
  <c r="F392" i="7"/>
  <c r="H391" i="7"/>
  <c r="G391" i="7"/>
  <c r="F391" i="7"/>
  <c r="H390" i="7"/>
  <c r="G390" i="7"/>
  <c r="F390" i="7"/>
  <c r="H389" i="7"/>
  <c r="G389" i="7"/>
  <c r="F389" i="7"/>
  <c r="H388" i="7"/>
  <c r="G388" i="7"/>
  <c r="F388" i="7"/>
  <c r="H387" i="7"/>
  <c r="G387" i="7"/>
  <c r="F387" i="7"/>
  <c r="H386" i="7"/>
  <c r="F386" i="7"/>
  <c r="H385" i="7"/>
  <c r="G385" i="7"/>
  <c r="F385" i="7"/>
  <c r="H384" i="7"/>
  <c r="G384" i="7"/>
  <c r="F384" i="7"/>
  <c r="H383" i="7"/>
  <c r="G383" i="7"/>
  <c r="H382" i="7"/>
  <c r="G382" i="7"/>
  <c r="F382" i="7"/>
  <c r="I370" i="7"/>
  <c r="D370" i="7"/>
  <c r="J370" i="7" s="1"/>
  <c r="D369" i="7"/>
  <c r="J369" i="7"/>
  <c r="D368" i="7"/>
  <c r="D367" i="7"/>
  <c r="D366" i="7"/>
  <c r="D365" i="7"/>
  <c r="J365" i="7" s="1"/>
  <c r="D364" i="7"/>
  <c r="H364" i="7" s="1"/>
  <c r="J364" i="7"/>
  <c r="D363" i="7"/>
  <c r="H363" i="7"/>
  <c r="D362" i="7"/>
  <c r="H362" i="7" s="1"/>
  <c r="D361" i="7"/>
  <c r="I361" i="7"/>
  <c r="H361" i="7"/>
  <c r="D360" i="7"/>
  <c r="D359" i="7"/>
  <c r="D357" i="7"/>
  <c r="J357" i="7"/>
  <c r="D356" i="7"/>
  <c r="I356" i="7" s="1"/>
  <c r="J356" i="7"/>
  <c r="D354" i="7"/>
  <c r="I354" i="7" s="1"/>
  <c r="D353" i="7"/>
  <c r="J353" i="7"/>
  <c r="I352" i="7"/>
  <c r="D352" i="7"/>
  <c r="H352" i="7" s="1"/>
  <c r="J352" i="7"/>
  <c r="I351" i="7"/>
  <c r="D351" i="7"/>
  <c r="H351" i="7" s="1"/>
  <c r="J351" i="7"/>
  <c r="D350" i="7"/>
  <c r="D349" i="7"/>
  <c r="J349" i="7"/>
  <c r="D348" i="7"/>
  <c r="J347" i="7"/>
  <c r="I347" i="7"/>
  <c r="H347" i="7"/>
  <c r="H335" i="7"/>
  <c r="G335" i="7"/>
  <c r="F335" i="7"/>
  <c r="H334" i="7"/>
  <c r="G334" i="7"/>
  <c r="F334" i="7"/>
  <c r="H333" i="7"/>
  <c r="G333" i="7"/>
  <c r="F333" i="7"/>
  <c r="H332" i="7"/>
  <c r="G332" i="7"/>
  <c r="F332" i="7"/>
  <c r="H331" i="7"/>
  <c r="G331" i="7"/>
  <c r="F331" i="7"/>
  <c r="G330" i="7"/>
  <c r="H329" i="7"/>
  <c r="G329" i="7"/>
  <c r="F329" i="7"/>
  <c r="H328" i="7"/>
  <c r="G328" i="7"/>
  <c r="F328" i="7"/>
  <c r="H327" i="7"/>
  <c r="G327" i="7"/>
  <c r="F327" i="7"/>
  <c r="H326" i="7"/>
  <c r="G326" i="7"/>
  <c r="F326" i="7"/>
  <c r="H325" i="7"/>
  <c r="F325" i="7"/>
  <c r="H324" i="7"/>
  <c r="G324" i="7"/>
  <c r="F324" i="7"/>
  <c r="H323" i="7"/>
  <c r="G323" i="7"/>
  <c r="F323" i="7"/>
  <c r="H322" i="7"/>
  <c r="G322" i="7"/>
  <c r="H321" i="7"/>
  <c r="G321" i="7"/>
  <c r="F321" i="7"/>
  <c r="H320" i="7"/>
  <c r="G320" i="7"/>
  <c r="F320" i="7"/>
  <c r="H319" i="7"/>
  <c r="G319" i="7"/>
  <c r="F319" i="7"/>
  <c r="H318" i="7"/>
  <c r="G318" i="7"/>
  <c r="F318" i="7"/>
  <c r="H317" i="7"/>
  <c r="G317" i="7"/>
  <c r="F317" i="7"/>
  <c r="H316" i="7"/>
  <c r="G316" i="7"/>
  <c r="F316" i="7"/>
  <c r="H315" i="7"/>
  <c r="G315" i="7"/>
  <c r="F315" i="7"/>
  <c r="H314" i="7"/>
  <c r="G314" i="7"/>
  <c r="F314" i="7"/>
  <c r="H313" i="7"/>
  <c r="G313" i="7"/>
  <c r="F313" i="7"/>
  <c r="H312" i="7"/>
  <c r="G312" i="7"/>
  <c r="F312" i="7"/>
  <c r="H311" i="7"/>
  <c r="G311" i="7"/>
  <c r="F311" i="7"/>
  <c r="H310" i="7"/>
  <c r="G310" i="7"/>
  <c r="F310" i="7"/>
  <c r="H309" i="7"/>
  <c r="G309" i="7"/>
  <c r="F309" i="7"/>
  <c r="H308" i="7"/>
  <c r="G308" i="7"/>
  <c r="F308" i="7"/>
  <c r="H307" i="7"/>
  <c r="G307" i="7"/>
  <c r="F307" i="7"/>
  <c r="H306" i="7"/>
  <c r="G306" i="7"/>
  <c r="F306" i="7"/>
  <c r="H305" i="7"/>
  <c r="G305" i="7"/>
  <c r="F305" i="7"/>
  <c r="H304" i="7"/>
  <c r="G304" i="7"/>
  <c r="F304" i="7"/>
  <c r="H303" i="7"/>
  <c r="G303" i="7"/>
  <c r="F303" i="7"/>
  <c r="H302" i="7"/>
  <c r="G302" i="7"/>
  <c r="F302" i="7"/>
  <c r="H301" i="7"/>
  <c r="G301" i="7"/>
  <c r="F301" i="7"/>
  <c r="H300" i="7"/>
  <c r="G300" i="7"/>
  <c r="F300" i="7"/>
  <c r="H299" i="7"/>
  <c r="G299" i="7"/>
  <c r="F299" i="7"/>
  <c r="H298" i="7"/>
  <c r="G298" i="7"/>
  <c r="F298" i="7"/>
  <c r="H297" i="7"/>
  <c r="G297" i="7"/>
  <c r="F297" i="7"/>
  <c r="H296" i="7"/>
  <c r="G296" i="7"/>
  <c r="F296" i="7"/>
  <c r="H295" i="7"/>
  <c r="G295" i="7"/>
  <c r="F295" i="7"/>
  <c r="H294" i="7"/>
  <c r="G294" i="7"/>
  <c r="F294" i="7"/>
  <c r="H293" i="7"/>
  <c r="G293" i="7"/>
  <c r="F293" i="7"/>
  <c r="H292" i="7"/>
  <c r="G292" i="7"/>
  <c r="F292" i="7"/>
  <c r="H291" i="7"/>
  <c r="G291" i="7"/>
  <c r="F291" i="7"/>
  <c r="H290" i="7"/>
  <c r="G290" i="7"/>
  <c r="F290" i="7"/>
  <c r="H289" i="7"/>
  <c r="G289" i="7"/>
  <c r="F289" i="7"/>
  <c r="H288" i="7"/>
  <c r="G288" i="7"/>
  <c r="F288" i="7"/>
  <c r="H287" i="7"/>
  <c r="G287" i="7"/>
  <c r="F287" i="7"/>
  <c r="H286" i="7"/>
  <c r="G286" i="7"/>
  <c r="F286" i="7"/>
  <c r="H285" i="7"/>
  <c r="G285" i="7"/>
  <c r="F285" i="7"/>
  <c r="H284" i="7"/>
  <c r="G284" i="7"/>
  <c r="F284" i="7"/>
  <c r="H283" i="7"/>
  <c r="G283" i="7"/>
  <c r="F283" i="7"/>
  <c r="H282" i="7"/>
  <c r="G282" i="7"/>
  <c r="F282" i="7"/>
  <c r="G281" i="7"/>
  <c r="G337" i="7" s="1"/>
  <c r="G340" i="7" s="1"/>
  <c r="E510" i="7" s="1"/>
  <c r="F281" i="7"/>
  <c r="F337" i="7" s="1"/>
  <c r="F340" i="7" s="1"/>
  <c r="D510" i="7" s="1"/>
  <c r="I269" i="7"/>
  <c r="H269" i="7"/>
  <c r="G269" i="7"/>
  <c r="H267" i="7"/>
  <c r="G267" i="7"/>
  <c r="I266" i="7"/>
  <c r="H266" i="7"/>
  <c r="G266" i="7"/>
  <c r="I265" i="7"/>
  <c r="H265" i="7"/>
  <c r="G265" i="7"/>
  <c r="I264" i="7"/>
  <c r="H264" i="7"/>
  <c r="G264" i="7"/>
  <c r="I263" i="7"/>
  <c r="H263" i="7"/>
  <c r="G263" i="7"/>
  <c r="I262" i="7"/>
  <c r="H262" i="7"/>
  <c r="G262" i="7"/>
  <c r="I261" i="7"/>
  <c r="G261" i="7"/>
  <c r="I260" i="7"/>
  <c r="H260" i="7"/>
  <c r="G260" i="7"/>
  <c r="I259" i="7"/>
  <c r="H259" i="7"/>
  <c r="G259" i="7"/>
  <c r="I258" i="7"/>
  <c r="H258" i="7"/>
  <c r="G258" i="7"/>
  <c r="I257" i="7"/>
  <c r="H257" i="7"/>
  <c r="G257" i="7"/>
  <c r="I256" i="7"/>
  <c r="H256" i="7"/>
  <c r="G256" i="7"/>
  <c r="I255" i="7"/>
  <c r="H255" i="7"/>
  <c r="G255" i="7"/>
  <c r="I254" i="7"/>
  <c r="H254" i="7"/>
  <c r="G254" i="7"/>
  <c r="I253" i="7"/>
  <c r="G253" i="7"/>
  <c r="I252" i="7"/>
  <c r="H252" i="7"/>
  <c r="G252" i="7"/>
  <c r="I251" i="7"/>
  <c r="H251" i="7"/>
  <c r="G251" i="7"/>
  <c r="I250" i="7"/>
  <c r="H250" i="7"/>
  <c r="G250" i="7"/>
  <c r="I249" i="7"/>
  <c r="H249" i="7"/>
  <c r="G249" i="7"/>
  <c r="I248" i="7"/>
  <c r="H248" i="7"/>
  <c r="I247" i="7"/>
  <c r="H247" i="7"/>
  <c r="G247" i="7"/>
  <c r="I246" i="7"/>
  <c r="H246" i="7"/>
  <c r="G246" i="7"/>
  <c r="F238" i="7"/>
  <c r="F236" i="7"/>
  <c r="F235" i="7"/>
  <c r="F234" i="7"/>
  <c r="K234" i="7"/>
  <c r="J234" i="7"/>
  <c r="F233" i="7"/>
  <c r="K233" i="7" s="1"/>
  <c r="J233" i="7"/>
  <c r="F232" i="7"/>
  <c r="L232" i="7" s="1"/>
  <c r="F231" i="7"/>
  <c r="J231" i="7"/>
  <c r="F230" i="7"/>
  <c r="F229" i="7"/>
  <c r="L229" i="7"/>
  <c r="F228" i="7"/>
  <c r="K228" i="7" s="1"/>
  <c r="F227" i="7"/>
  <c r="F226" i="7"/>
  <c r="F225" i="7"/>
  <c r="K225" i="7" s="1"/>
  <c r="F224" i="7"/>
  <c r="J224" i="7" s="1"/>
  <c r="K224" i="7"/>
  <c r="F223" i="7"/>
  <c r="J223" i="7"/>
  <c r="F222" i="7"/>
  <c r="F221" i="7"/>
  <c r="F220" i="7"/>
  <c r="K220" i="7"/>
  <c r="F219" i="7"/>
  <c r="F218" i="7"/>
  <c r="J218" i="7" s="1"/>
  <c r="F217" i="7"/>
  <c r="J217" i="7" s="1"/>
  <c r="K217" i="7"/>
  <c r="F216" i="7"/>
  <c r="K216" i="7"/>
  <c r="F215" i="7"/>
  <c r="F214" i="7"/>
  <c r="L214" i="7" s="1"/>
  <c r="J214" i="7"/>
  <c r="F213" i="7"/>
  <c r="J213" i="7" s="1"/>
  <c r="F212" i="7"/>
  <c r="J212" i="7"/>
  <c r="F211" i="7"/>
  <c r="F210" i="7"/>
  <c r="F209" i="7"/>
  <c r="K209" i="7"/>
  <c r="F208" i="7"/>
  <c r="J208" i="7" s="1"/>
  <c r="F207" i="7"/>
  <c r="K207" i="7" s="1"/>
  <c r="F206" i="7"/>
  <c r="J206" i="7" s="1"/>
  <c r="F205" i="7"/>
  <c r="J205" i="7"/>
  <c r="F204" i="7"/>
  <c r="F203" i="7"/>
  <c r="L203" i="7" s="1"/>
  <c r="K203" i="7"/>
  <c r="J203" i="7"/>
  <c r="F202" i="7"/>
  <c r="L202" i="7" s="1"/>
  <c r="K202" i="7"/>
  <c r="J202" i="7"/>
  <c r="F201" i="7"/>
  <c r="L201" i="7" s="1"/>
  <c r="K201" i="7"/>
  <c r="J201" i="7"/>
  <c r="F200" i="7"/>
  <c r="L200" i="7" s="1"/>
  <c r="K200" i="7"/>
  <c r="J200" i="7"/>
  <c r="F199" i="7"/>
  <c r="K199" i="7" s="1"/>
  <c r="J199" i="7"/>
  <c r="L199" i="7"/>
  <c r="F198" i="7"/>
  <c r="F197" i="7"/>
  <c r="L197" i="7"/>
  <c r="F196" i="7"/>
  <c r="L196" i="7" s="1"/>
  <c r="F195" i="7"/>
  <c r="J195" i="7"/>
  <c r="F194" i="7"/>
  <c r="K194" i="7"/>
  <c r="F193" i="7"/>
  <c r="F192" i="7"/>
  <c r="L192" i="7"/>
  <c r="F191" i="7"/>
  <c r="J191" i="7" s="1"/>
  <c r="F190" i="7"/>
  <c r="J190" i="7"/>
  <c r="F189" i="7"/>
  <c r="J189" i="7" s="1"/>
  <c r="F188" i="7"/>
  <c r="J188" i="7"/>
  <c r="F187" i="7"/>
  <c r="L187" i="7" s="1"/>
  <c r="F186" i="7"/>
  <c r="F185" i="7"/>
  <c r="J185" i="7"/>
  <c r="F184" i="7"/>
  <c r="F183" i="7"/>
  <c r="F182" i="7"/>
  <c r="J182" i="7"/>
  <c r="F181" i="7"/>
  <c r="L181" i="7"/>
  <c r="F180" i="7"/>
  <c r="K180" i="7"/>
  <c r="F179" i="7"/>
  <c r="F178" i="7"/>
  <c r="L178" i="7"/>
  <c r="J177" i="7"/>
  <c r="F176" i="7"/>
  <c r="L176" i="7"/>
  <c r="F175" i="7"/>
  <c r="K175" i="7"/>
  <c r="F174" i="7"/>
  <c r="F173" i="7"/>
  <c r="L173" i="7"/>
  <c r="F172" i="7"/>
  <c r="K172" i="7" s="1"/>
  <c r="F171" i="7"/>
  <c r="K171" i="7"/>
  <c r="L170" i="7"/>
  <c r="K170" i="7"/>
  <c r="J170" i="7"/>
  <c r="F169" i="7"/>
  <c r="F168" i="7"/>
  <c r="F166" i="7"/>
  <c r="K166" i="7" s="1"/>
  <c r="F164" i="7"/>
  <c r="L163" i="7"/>
  <c r="K163" i="7"/>
  <c r="D148" i="7"/>
  <c r="E148" i="7" s="1"/>
  <c r="D147" i="7"/>
  <c r="E147" i="7"/>
  <c r="D146" i="7"/>
  <c r="E146" i="7" s="1"/>
  <c r="D145" i="7"/>
  <c r="E145" i="7"/>
  <c r="D144" i="7"/>
  <c r="E144" i="7" s="1"/>
  <c r="E149" i="7" s="1"/>
  <c r="D143" i="7"/>
  <c r="E143" i="7"/>
  <c r="D138" i="7"/>
  <c r="E138" i="7" s="1"/>
  <c r="E139" i="7" s="1"/>
  <c r="D137" i="7"/>
  <c r="E137" i="7"/>
  <c r="J112" i="7"/>
  <c r="I112" i="7"/>
  <c r="H112" i="7"/>
  <c r="J111" i="7"/>
  <c r="I111" i="7"/>
  <c r="H111" i="7"/>
  <c r="J110" i="7"/>
  <c r="I110" i="7"/>
  <c r="H110" i="7"/>
  <c r="J109" i="7"/>
  <c r="I109" i="7"/>
  <c r="H109" i="7"/>
  <c r="J108" i="7"/>
  <c r="I108" i="7"/>
  <c r="H108" i="7"/>
  <c r="J107" i="7"/>
  <c r="I107" i="7"/>
  <c r="H107" i="7"/>
  <c r="J106" i="7"/>
  <c r="I106" i="7"/>
  <c r="H106" i="7"/>
  <c r="J105" i="7"/>
  <c r="I105" i="7"/>
  <c r="H105" i="7"/>
  <c r="J104" i="7"/>
  <c r="I104" i="7"/>
  <c r="H104" i="7"/>
  <c r="J103" i="7"/>
  <c r="I103" i="7"/>
  <c r="H103" i="7"/>
  <c r="J102" i="7"/>
  <c r="I102" i="7"/>
  <c r="H102" i="7"/>
  <c r="J101" i="7"/>
  <c r="I101" i="7"/>
  <c r="H101" i="7"/>
  <c r="J100" i="7"/>
  <c r="I100" i="7"/>
  <c r="H100" i="7"/>
  <c r="J99" i="7"/>
  <c r="I99" i="7"/>
  <c r="H99" i="7"/>
  <c r="J98" i="7"/>
  <c r="I98" i="7"/>
  <c r="H98" i="7"/>
  <c r="J97" i="7"/>
  <c r="I97" i="7"/>
  <c r="H97" i="7"/>
  <c r="J96" i="7"/>
  <c r="I96" i="7"/>
  <c r="H96" i="7"/>
  <c r="J95" i="7"/>
  <c r="I95" i="7"/>
  <c r="H95" i="7"/>
  <c r="J94" i="7"/>
  <c r="I94" i="7"/>
  <c r="H94" i="7"/>
  <c r="J93" i="7"/>
  <c r="I93" i="7"/>
  <c r="H93" i="7"/>
  <c r="J92" i="7"/>
  <c r="I92" i="7"/>
  <c r="H92" i="7"/>
  <c r="J91" i="7"/>
  <c r="I91" i="7"/>
  <c r="H91" i="7"/>
  <c r="J90" i="7"/>
  <c r="I90" i="7"/>
  <c r="H90" i="7"/>
  <c r="J89" i="7"/>
  <c r="I89" i="7"/>
  <c r="H89" i="7"/>
  <c r="J88" i="7"/>
  <c r="I88" i="7"/>
  <c r="H88" i="7"/>
  <c r="J87" i="7"/>
  <c r="I87" i="7"/>
  <c r="H87" i="7"/>
  <c r="J86" i="7"/>
  <c r="I86" i="7"/>
  <c r="H86" i="7"/>
  <c r="J85" i="7"/>
  <c r="I85" i="7"/>
  <c r="H85" i="7"/>
  <c r="J84" i="7"/>
  <c r="I84" i="7"/>
  <c r="H84" i="7"/>
  <c r="J83" i="7"/>
  <c r="I83" i="7"/>
  <c r="H83" i="7"/>
  <c r="J82" i="7"/>
  <c r="I82" i="7"/>
  <c r="H82" i="7"/>
  <c r="I81" i="7"/>
  <c r="H81" i="7"/>
  <c r="J80" i="7"/>
  <c r="I80" i="7"/>
  <c r="H80" i="7"/>
  <c r="J79" i="7"/>
  <c r="I79" i="7"/>
  <c r="H79" i="7"/>
  <c r="J78" i="7"/>
  <c r="I78" i="7"/>
  <c r="J77" i="7"/>
  <c r="I77" i="7"/>
  <c r="H77" i="7"/>
  <c r="J76" i="7"/>
  <c r="I76" i="7"/>
  <c r="H76" i="7"/>
  <c r="J75" i="7"/>
  <c r="I75" i="7"/>
  <c r="H75" i="7"/>
  <c r="J74" i="7"/>
  <c r="I74" i="7"/>
  <c r="H74" i="7"/>
  <c r="J73" i="7"/>
  <c r="I73" i="7"/>
  <c r="H73" i="7"/>
  <c r="J72" i="7"/>
  <c r="I72" i="7"/>
  <c r="H72" i="7"/>
  <c r="J71" i="7"/>
  <c r="I71" i="7"/>
  <c r="H71" i="7"/>
  <c r="J70" i="7"/>
  <c r="I70" i="7"/>
  <c r="H70" i="7"/>
  <c r="J69" i="7"/>
  <c r="I69" i="7"/>
  <c r="H69" i="7"/>
  <c r="J68" i="7"/>
  <c r="I68" i="7"/>
  <c r="H68" i="7"/>
  <c r="J67" i="7"/>
  <c r="I67" i="7"/>
  <c r="H67" i="7"/>
  <c r="J66" i="7"/>
  <c r="I66" i="7"/>
  <c r="H66" i="7"/>
  <c r="J65" i="7"/>
  <c r="I65" i="7"/>
  <c r="H65" i="7"/>
  <c r="J64" i="7"/>
  <c r="I64" i="7"/>
  <c r="H64" i="7"/>
  <c r="J63" i="7"/>
  <c r="H63" i="7"/>
  <c r="J62" i="7"/>
  <c r="I62" i="7"/>
  <c r="H62" i="7"/>
  <c r="J61" i="7"/>
  <c r="I61" i="7"/>
  <c r="H61" i="7"/>
  <c r="J60" i="7"/>
  <c r="I60" i="7"/>
  <c r="H60" i="7"/>
  <c r="J59" i="7"/>
  <c r="I59" i="7"/>
  <c r="H59" i="7"/>
  <c r="J58" i="7"/>
  <c r="J114" i="7" s="1"/>
  <c r="J117" i="7" s="1"/>
  <c r="F502" i="7" s="1"/>
  <c r="I58" i="7"/>
  <c r="H58" i="7"/>
  <c r="J57" i="7"/>
  <c r="I57" i="7"/>
  <c r="I114" i="7" s="1"/>
  <c r="I117" i="7" s="1"/>
  <c r="E502" i="7" s="1"/>
  <c r="H57" i="7"/>
  <c r="J56" i="7"/>
  <c r="I56" i="7"/>
  <c r="H56" i="7"/>
  <c r="J55" i="7"/>
  <c r="I55" i="7"/>
  <c r="H55" i="7"/>
  <c r="J41" i="7"/>
  <c r="I41" i="7"/>
  <c r="H41" i="7"/>
  <c r="I40" i="7"/>
  <c r="H40" i="7"/>
  <c r="J39" i="7"/>
  <c r="I39" i="7"/>
  <c r="H39" i="7"/>
  <c r="J38" i="7"/>
  <c r="I38" i="7"/>
  <c r="H38" i="7"/>
  <c r="J37" i="7"/>
  <c r="I37" i="7"/>
  <c r="H37" i="7"/>
  <c r="J36" i="7"/>
  <c r="I36" i="7"/>
  <c r="H36" i="7"/>
  <c r="J35" i="7"/>
  <c r="I35" i="7"/>
  <c r="H35" i="7"/>
  <c r="J34" i="7"/>
  <c r="I34" i="7"/>
  <c r="H34" i="7"/>
  <c r="J33" i="7"/>
  <c r="I33" i="7"/>
  <c r="H33" i="7"/>
  <c r="J32" i="7"/>
  <c r="I32" i="7"/>
  <c r="H32" i="7"/>
  <c r="J31" i="7"/>
  <c r="I31" i="7"/>
  <c r="H31" i="7"/>
  <c r="J30" i="7"/>
  <c r="I30" i="7"/>
  <c r="H30" i="7"/>
  <c r="J29" i="7"/>
  <c r="I29" i="7"/>
  <c r="H29" i="7"/>
  <c r="J28" i="7"/>
  <c r="I28" i="7"/>
  <c r="H28" i="7"/>
  <c r="J27" i="7"/>
  <c r="I27" i="7"/>
  <c r="H27" i="7"/>
  <c r="J26" i="7"/>
  <c r="I26" i="7"/>
  <c r="H26" i="7"/>
  <c r="J25" i="7"/>
  <c r="I25" i="7"/>
  <c r="H25" i="7"/>
  <c r="J24" i="7"/>
  <c r="I24" i="7"/>
  <c r="H24" i="7"/>
  <c r="J23" i="7"/>
  <c r="I23" i="7"/>
  <c r="H23" i="7"/>
  <c r="J22" i="7"/>
  <c r="I22" i="7"/>
  <c r="H22" i="7"/>
  <c r="J21" i="7"/>
  <c r="I21" i="7"/>
  <c r="H21" i="7"/>
  <c r="J20" i="7"/>
  <c r="I20" i="7"/>
  <c r="H20" i="7"/>
  <c r="J19" i="7"/>
  <c r="I19" i="7"/>
  <c r="H19" i="7"/>
  <c r="J19" i="5"/>
  <c r="K237" i="7"/>
  <c r="L217" i="7"/>
  <c r="L233" i="7"/>
  <c r="K223" i="7"/>
  <c r="L224" i="7"/>
  <c r="K227" i="7"/>
  <c r="L186" i="7"/>
  <c r="K186" i="7"/>
  <c r="K192" i="7"/>
  <c r="J221" i="7"/>
  <c r="L221" i="7"/>
  <c r="K221" i="7"/>
  <c r="I350" i="7"/>
  <c r="J363" i="7"/>
  <c r="I363" i="7"/>
  <c r="J175" i="7"/>
  <c r="J178" i="7"/>
  <c r="J186" i="7"/>
  <c r="J192" i="7"/>
  <c r="L459" i="7"/>
  <c r="J459" i="7"/>
  <c r="L463" i="7"/>
  <c r="K463" i="7"/>
  <c r="J463" i="7"/>
  <c r="L467" i="7"/>
  <c r="K471" i="7"/>
  <c r="J471" i="7"/>
  <c r="L479" i="7"/>
  <c r="J479" i="7"/>
  <c r="J167" i="7"/>
  <c r="L175" i="7"/>
  <c r="K183" i="7"/>
  <c r="L185" i="7"/>
  <c r="K189" i="7"/>
  <c r="L228" i="7"/>
  <c r="L180" i="7"/>
  <c r="L190" i="7"/>
  <c r="K190" i="7"/>
  <c r="L195" i="7"/>
  <c r="J209" i="7"/>
  <c r="L209" i="7"/>
  <c r="I359" i="7"/>
  <c r="J166" i="7"/>
  <c r="K173" i="7"/>
  <c r="J173" i="7"/>
  <c r="K196" i="7"/>
  <c r="K167" i="7"/>
  <c r="K176" i="7"/>
  <c r="J176" i="7"/>
  <c r="L194" i="7"/>
  <c r="J194" i="7"/>
  <c r="I369" i="7"/>
  <c r="K486" i="7"/>
  <c r="J486" i="7"/>
  <c r="L491" i="7"/>
  <c r="K212" i="7"/>
  <c r="H349" i="7"/>
  <c r="H353" i="7"/>
  <c r="I358" i="7"/>
  <c r="I362" i="7"/>
  <c r="I444" i="7"/>
  <c r="K456" i="7"/>
  <c r="J470" i="7"/>
  <c r="J482" i="7"/>
  <c r="L208" i="7"/>
  <c r="L212" i="7"/>
  <c r="I353" i="7"/>
  <c r="J358" i="7"/>
  <c r="J481" i="7"/>
  <c r="J488" i="7"/>
  <c r="D19" i="5"/>
  <c r="D20" i="5" s="1"/>
  <c r="F19" i="5"/>
  <c r="G37" i="5" s="1"/>
  <c r="D18" i="6"/>
  <c r="L168" i="7"/>
  <c r="J168" i="7"/>
  <c r="K211" i="7"/>
  <c r="J211" i="7"/>
  <c r="I367" i="7"/>
  <c r="J367" i="7"/>
  <c r="I447" i="7"/>
  <c r="F513" i="7"/>
  <c r="L457" i="7"/>
  <c r="J457" i="7"/>
  <c r="K466" i="7"/>
  <c r="L466" i="7"/>
  <c r="J480" i="7"/>
  <c r="L480" i="7"/>
  <c r="K480" i="7"/>
  <c r="K491" i="7"/>
  <c r="H354" i="7"/>
  <c r="L169" i="7"/>
  <c r="J169" i="7"/>
  <c r="K193" i="7"/>
  <c r="L193" i="7"/>
  <c r="L205" i="7"/>
  <c r="L211" i="7"/>
  <c r="L218" i="7"/>
  <c r="K218" i="7"/>
  <c r="I270" i="7"/>
  <c r="F505" i="7"/>
  <c r="L461" i="7"/>
  <c r="K461" i="7"/>
  <c r="J477" i="7"/>
  <c r="J354" i="7"/>
  <c r="J193" i="7"/>
  <c r="K181" i="7"/>
  <c r="K213" i="7"/>
  <c r="L172" i="7"/>
  <c r="J172" i="7"/>
  <c r="K197" i="7"/>
  <c r="J197" i="7"/>
  <c r="L219" i="7"/>
  <c r="J219" i="7"/>
  <c r="K219" i="7"/>
  <c r="J222" i="7"/>
  <c r="L222" i="7"/>
  <c r="J227" i="7"/>
  <c r="L227" i="7"/>
  <c r="I360" i="7"/>
  <c r="H360" i="7"/>
  <c r="L478" i="7"/>
  <c r="J478" i="7"/>
  <c r="K478" i="7"/>
  <c r="K184" i="7"/>
  <c r="L184" i="7"/>
  <c r="J229" i="7"/>
  <c r="K229" i="7"/>
  <c r="J236" i="7"/>
  <c r="L236" i="7"/>
  <c r="K165" i="7"/>
  <c r="L165" i="7"/>
  <c r="J355" i="7"/>
  <c r="I355" i="7"/>
  <c r="J466" i="7"/>
  <c r="J216" i="7"/>
  <c r="L213" i="7"/>
  <c r="J171" i="7"/>
  <c r="L171" i="7"/>
  <c r="J181" i="7"/>
  <c r="K238" i="7"/>
  <c r="L238" i="7"/>
  <c r="J238" i="7"/>
  <c r="H355" i="7"/>
  <c r="L458" i="7"/>
  <c r="K458" i="7"/>
  <c r="I349" i="7"/>
  <c r="J461" i="7"/>
  <c r="J474" i="7"/>
  <c r="K208" i="7"/>
  <c r="J184" i="7"/>
  <c r="K185" i="7"/>
  <c r="K467" i="7"/>
  <c r="K178" i="7"/>
  <c r="L216" i="7"/>
  <c r="K168" i="7"/>
  <c r="J204" i="7"/>
  <c r="L204" i="7"/>
  <c r="K204" i="7"/>
  <c r="J207" i="7"/>
  <c r="L207" i="7"/>
  <c r="K222" i="7"/>
  <c r="K236" i="7"/>
  <c r="K457" i="7"/>
  <c r="L460" i="7"/>
  <c r="K460" i="7"/>
  <c r="L474" i="7"/>
  <c r="K476" i="7"/>
  <c r="J476" i="7"/>
  <c r="K482" i="7"/>
  <c r="L482" i="7"/>
  <c r="J455" i="7"/>
  <c r="J494" i="7" s="1"/>
  <c r="D514" i="7" s="1"/>
  <c r="L455" i="7"/>
  <c r="H270" i="7"/>
  <c r="E505" i="7"/>
  <c r="J484" i="7"/>
  <c r="J462" i="7"/>
  <c r="K195" i="7"/>
  <c r="L189" i="7"/>
  <c r="H114" i="7"/>
  <c r="H117" i="7" s="1"/>
  <c r="D502" i="7" s="1"/>
  <c r="I364" i="7"/>
  <c r="H421" i="7"/>
  <c r="F512" i="7" s="1"/>
  <c r="G421" i="7"/>
  <c r="E512" i="7" s="1"/>
  <c r="L489" i="7"/>
  <c r="L179" i="7"/>
  <c r="J179" i="7"/>
  <c r="L235" i="7"/>
  <c r="J235" i="7"/>
  <c r="K235" i="7"/>
  <c r="J366" i="7"/>
  <c r="I366" i="7"/>
  <c r="H366" i="7"/>
  <c r="K469" i="7"/>
  <c r="L469" i="7"/>
  <c r="J469" i="7"/>
  <c r="K485" i="7"/>
  <c r="J485" i="7"/>
  <c r="L485" i="7"/>
  <c r="J215" i="7"/>
  <c r="L215" i="7"/>
  <c r="K174" i="7"/>
  <c r="J174" i="7"/>
  <c r="L174" i="7"/>
  <c r="J198" i="7"/>
  <c r="K198" i="7"/>
  <c r="L198" i="7"/>
  <c r="J226" i="7"/>
  <c r="K226" i="7"/>
  <c r="L226" i="7"/>
  <c r="L465" i="7"/>
  <c r="K465" i="7"/>
  <c r="J465" i="7"/>
  <c r="L473" i="7"/>
  <c r="K473" i="7"/>
  <c r="J473" i="7"/>
  <c r="K475" i="7"/>
  <c r="L475" i="7"/>
  <c r="J475" i="7"/>
  <c r="L182" i="7"/>
  <c r="K182" i="7"/>
  <c r="K210" i="7"/>
  <c r="J210" i="7"/>
  <c r="L210" i="7"/>
  <c r="H359" i="7"/>
  <c r="J359" i="7"/>
  <c r="K179" i="7"/>
  <c r="J348" i="7"/>
  <c r="J371" i="7" s="1"/>
  <c r="F511" i="7" s="1"/>
  <c r="H348" i="7"/>
  <c r="I348" i="7"/>
  <c r="K215" i="7"/>
  <c r="J362" i="7"/>
  <c r="L164" i="7"/>
  <c r="J164" i="7"/>
  <c r="K164" i="7"/>
  <c r="L188" i="7"/>
  <c r="K188" i="7"/>
  <c r="K230" i="7"/>
  <c r="J230" i="7"/>
  <c r="L230" i="7"/>
  <c r="G270" i="7"/>
  <c r="D505" i="7" s="1"/>
  <c r="J350" i="7"/>
  <c r="H350" i="7"/>
  <c r="J368" i="7"/>
  <c r="I368" i="7"/>
  <c r="H368" i="7"/>
  <c r="J456" i="7"/>
  <c r="L456" i="7"/>
  <c r="H369" i="7"/>
  <c r="J228" i="7"/>
  <c r="J165" i="7"/>
  <c r="K177" i="7"/>
  <c r="K206" i="7"/>
  <c r="K214" i="7"/>
  <c r="L234" i="7"/>
  <c r="H357" i="7"/>
  <c r="J361" i="7"/>
  <c r="J468" i="7"/>
  <c r="J472" i="7"/>
  <c r="J237" i="7"/>
  <c r="L237" i="7"/>
  <c r="H367" i="7"/>
  <c r="J183" i="7"/>
  <c r="L183" i="7"/>
  <c r="J220" i="7"/>
  <c r="L220" i="7"/>
  <c r="J232" i="7"/>
  <c r="J180" i="7"/>
  <c r="K169" i="7"/>
  <c r="J187" i="7"/>
  <c r="K205" i="7"/>
  <c r="L206" i="7"/>
  <c r="L223" i="7"/>
  <c r="L231" i="7"/>
  <c r="K231" i="7"/>
  <c r="H356" i="7"/>
  <c r="I357" i="7"/>
  <c r="J360" i="7"/>
  <c r="I365" i="7"/>
  <c r="H370" i="7"/>
  <c r="K464" i="7"/>
  <c r="L490" i="7"/>
  <c r="H371" i="7" l="1"/>
  <c r="D511" i="7" s="1"/>
  <c r="I371" i="7"/>
  <c r="E511" i="7" s="1"/>
  <c r="E151" i="7"/>
  <c r="E153" i="7" s="1"/>
  <c r="D503" i="7" s="1"/>
  <c r="J239" i="7"/>
  <c r="D504" i="7" s="1"/>
  <c r="D27" i="6"/>
  <c r="J196" i="7"/>
  <c r="L166" i="7"/>
  <c r="L239" i="7" s="1"/>
  <c r="F504" i="7" s="1"/>
  <c r="K187" i="7"/>
  <c r="K239" i="7" s="1"/>
  <c r="E504" i="7" s="1"/>
  <c r="L225" i="7"/>
  <c r="L483" i="7"/>
  <c r="K489" i="7"/>
  <c r="K191" i="7"/>
  <c r="I43" i="7"/>
  <c r="I46" i="7" s="1"/>
  <c r="E501" i="7" s="1"/>
  <c r="J225" i="7"/>
  <c r="K232" i="7"/>
  <c r="H365" i="7"/>
  <c r="F421" i="7"/>
  <c r="D512" i="7" s="1"/>
  <c r="L462" i="7"/>
  <c r="L464" i="7"/>
  <c r="K472" i="7"/>
  <c r="L481" i="7"/>
  <c r="K483" i="7"/>
  <c r="K494" i="7" s="1"/>
  <c r="E514" i="7" s="1"/>
  <c r="E515" i="7" s="1"/>
  <c r="K484" i="7"/>
  <c r="L191" i="7"/>
  <c r="J43" i="7"/>
  <c r="J46" i="7" s="1"/>
  <c r="F501" i="7" s="1"/>
  <c r="I30" i="5"/>
  <c r="G38" i="5" s="1"/>
  <c r="G39" i="5" s="1"/>
  <c r="G41" i="5"/>
  <c r="H43" i="7"/>
  <c r="H46" i="7" s="1"/>
  <c r="D501" i="7" s="1"/>
  <c r="D515" i="7"/>
  <c r="D4" i="6"/>
  <c r="H11" i="6" s="1"/>
  <c r="H13" i="6" s="1"/>
  <c r="H15" i="6" s="1"/>
  <c r="E519" i="7" l="1"/>
  <c r="F506" i="7"/>
  <c r="F519" i="7" s="1"/>
  <c r="E506" i="7"/>
  <c r="L494" i="7"/>
  <c r="F514" i="7" s="1"/>
  <c r="F515" i="7" s="1"/>
  <c r="K523" i="7"/>
  <c r="D523" i="7"/>
  <c r="D506" i="7"/>
  <c r="D519" i="7"/>
</calcChain>
</file>

<file path=xl/comments1.xml><?xml version="1.0" encoding="utf-8"?>
<comments xmlns="http://schemas.openxmlformats.org/spreadsheetml/2006/main">
  <authors>
    <author>ABI</author>
    <author>Alexis MEYER CIVAM</author>
  </authors>
  <commentList>
    <comment ref="A47" authorId="0">
      <text>
        <r>
          <rPr>
            <sz val="8"/>
            <color indexed="81"/>
            <rFont val="Tahoma"/>
            <family val="2"/>
          </rPr>
          <t>1kg poudre lait &lt; 10,6L lait
Moyenne RICA 2013 : 5321 L/ha SFP
RQ : on suppose que l'hectare de SFP est équilibré (pas de surfaces extérieures supplémentaires)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8" authorId="1">
      <text>
        <r>
          <rPr>
            <b/>
            <sz val="9"/>
            <color indexed="81"/>
            <rFont val="Tahoma"/>
            <family val="2"/>
          </rPr>
          <t>Légumes pour la revente, son de blé, sucre,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15" authorId="0">
      <text>
        <r>
          <rPr>
            <sz val="10"/>
            <color indexed="81"/>
            <rFont val="Arial"/>
            <family val="2"/>
          </rPr>
          <t>Dans le diag de durabilité on différencie les traitement herbicides des traitements autres</t>
        </r>
      </text>
    </comment>
  </commentList>
</comments>
</file>

<file path=xl/comments3.xml><?xml version="1.0" encoding="utf-8"?>
<comments xmlns="http://schemas.openxmlformats.org/spreadsheetml/2006/main">
  <authors>
    <author>ABI</author>
    <author>Alexis MEYER CIVAM</author>
  </authors>
  <commentList>
    <comment ref="A6" authorId="0">
      <text>
        <r>
          <rPr>
            <sz val="9"/>
            <color indexed="81"/>
            <rFont val="Tahoma"/>
            <family val="2"/>
          </rPr>
          <t>NB : Si vous ne pouvez pas reconstituer les quantités de carburant utilisées par les travaux tiers (CUMA, ETA), vous pouvez les approcher à l’aide de l’</t>
        </r>
        <r>
          <rPr>
            <b/>
            <sz val="9"/>
            <color indexed="81"/>
            <rFont val="Tahoma"/>
            <family val="2"/>
          </rPr>
          <t>annexe</t>
        </r>
        <r>
          <rPr>
            <sz val="9"/>
            <color indexed="81"/>
            <rFont val="Tahoma"/>
            <family val="2"/>
          </rPr>
          <t xml:space="preserve"> du guide utilisateur : "grille de consommation moyenne des travaux culturaux".
</t>
        </r>
      </text>
    </comment>
    <comment ref="A18" authorId="1">
      <text>
        <r>
          <rPr>
            <b/>
            <sz val="9"/>
            <color indexed="81"/>
            <rFont val="Tahoma"/>
            <family val="2"/>
          </rPr>
          <t>1 rouleau de bâche: 50kg
1 round d'enrubannage: 1,5kg</t>
        </r>
      </text>
    </comment>
    <comment ref="A29" authorId="1">
      <text>
        <r>
          <rPr>
            <sz val="10"/>
            <color indexed="81"/>
            <rFont val="Arial"/>
            <family val="2"/>
          </rPr>
          <t>Regroupe les cultures dérobés et intercalaires</t>
        </r>
      </text>
    </comment>
    <comment ref="A31" authorId="1">
      <text>
        <r>
          <rPr>
            <sz val="10"/>
            <color indexed="81"/>
            <rFont val="Arial"/>
            <family val="2"/>
          </rPr>
          <t>Traduire en Ha le linéaire de haies</t>
        </r>
      </text>
    </comment>
  </commentList>
</comments>
</file>

<file path=xl/sharedStrings.xml><?xml version="1.0" encoding="utf-8"?>
<sst xmlns="http://schemas.openxmlformats.org/spreadsheetml/2006/main" count="1071" uniqueCount="731">
  <si>
    <t xml:space="preserve">N° </t>
  </si>
  <si>
    <t>CRITERES</t>
  </si>
  <si>
    <t>Efficacité économique</t>
  </si>
  <si>
    <t>Autonomie financière</t>
  </si>
  <si>
    <t>Efficacité du capital</t>
  </si>
  <si>
    <t>Rémunération du travail</t>
  </si>
  <si>
    <t>Vulnérabilité commerciale</t>
  </si>
  <si>
    <t>indicateurs</t>
  </si>
  <si>
    <t>voir guide</t>
  </si>
  <si>
    <t>Valeur</t>
  </si>
  <si>
    <t>20 à 30%</t>
  </si>
  <si>
    <t>55 à 60%</t>
  </si>
  <si>
    <t>50 à 60%</t>
  </si>
  <si>
    <t>20 à 25%</t>
  </si>
  <si>
    <t>30 à 40%</t>
  </si>
  <si>
    <t>60 à 70%</t>
  </si>
  <si>
    <t>40 à 50%</t>
  </si>
  <si>
    <t>65 à 70%</t>
  </si>
  <si>
    <t>70 à 75%</t>
  </si>
  <si>
    <t>NOTE</t>
  </si>
  <si>
    <t>Viabilité socio-économique</t>
  </si>
  <si>
    <t>Indicateurs</t>
  </si>
  <si>
    <t>0,4 à 0,8 SMIC</t>
  </si>
  <si>
    <t>0,8 à 1,2 SMIC</t>
  </si>
  <si>
    <t>1,2 à 1,6 SMIC</t>
  </si>
  <si>
    <t>1,6 à 2 SMIC</t>
  </si>
  <si>
    <t>Bilan des minéraux</t>
  </si>
  <si>
    <t xml:space="preserve">Pesticides </t>
  </si>
  <si>
    <t>Linéaire de haies</t>
  </si>
  <si>
    <t>Biodiversité</t>
  </si>
  <si>
    <t>Gestion des sols</t>
  </si>
  <si>
    <t>Dépendance énergétique</t>
  </si>
  <si>
    <t>COMMENTAIRES</t>
  </si>
  <si>
    <t xml:space="preserve">Diagnostic de Durabilité fait par : </t>
  </si>
  <si>
    <r>
      <t>Annuités</t>
    </r>
    <r>
      <rPr>
        <sz val="7"/>
        <rFont val="Arial"/>
        <family val="2"/>
      </rPr>
      <t xml:space="preserve"> (hors foncier)</t>
    </r>
    <r>
      <rPr>
        <sz val="8"/>
        <rFont val="Arial"/>
        <family val="2"/>
      </rPr>
      <t xml:space="preserve"> / EBE consolidé</t>
    </r>
  </si>
  <si>
    <t>55 à 65%</t>
  </si>
  <si>
    <t>45 à 55%</t>
  </si>
  <si>
    <t>35 à 45%</t>
  </si>
  <si>
    <t>25 à 35%</t>
  </si>
  <si>
    <t>5 à 10%</t>
  </si>
  <si>
    <t>10 à 15%</t>
  </si>
  <si>
    <t>15 à 20%</t>
  </si>
  <si>
    <t>Résultat Social / Capital d'exploitation</t>
  </si>
  <si>
    <t>Résultat Social / (VA+Aides)</t>
  </si>
  <si>
    <t>VA / PA</t>
  </si>
  <si>
    <t>MBG / PA</t>
  </si>
  <si>
    <t>Efficacité du travail</t>
  </si>
  <si>
    <r>
      <t xml:space="preserve">Capital d'exploitation </t>
    </r>
    <r>
      <rPr>
        <sz val="7"/>
        <rFont val="Arial"/>
        <family val="2"/>
      </rPr>
      <t>(hors foncier)</t>
    </r>
    <r>
      <rPr>
        <sz val="8"/>
        <rFont val="Arial"/>
        <family val="2"/>
      </rPr>
      <t xml:space="preserve"> 
/ UTH</t>
    </r>
  </si>
  <si>
    <t>Résultat Social 
/ UTH</t>
  </si>
  <si>
    <t>IFT : voir guide</t>
  </si>
  <si>
    <t>Fourrages</t>
  </si>
  <si>
    <t>Choux fourrager</t>
  </si>
  <si>
    <t>Colza fourrager</t>
  </si>
  <si>
    <t>Sorgho fourrager</t>
  </si>
  <si>
    <t>Céréales</t>
  </si>
  <si>
    <t>Non céréales</t>
  </si>
  <si>
    <t>Aliments composés</t>
  </si>
  <si>
    <t>Foin de prairie</t>
  </si>
  <si>
    <t>Foin de Luzerne</t>
  </si>
  <si>
    <t>Luzerne déshy</t>
  </si>
  <si>
    <t>Herbe ensilage</t>
  </si>
  <si>
    <t>Enrubannage</t>
  </si>
  <si>
    <t>Maïs fourrage</t>
  </si>
  <si>
    <t>Betterave</t>
  </si>
  <si>
    <t>Pommes de terre</t>
  </si>
  <si>
    <t>Paille de blé</t>
  </si>
  <si>
    <t>Paille de colza</t>
  </si>
  <si>
    <t>Blé</t>
  </si>
  <si>
    <t>Blé dur</t>
  </si>
  <si>
    <t>Triticale</t>
  </si>
  <si>
    <t>Avoine</t>
  </si>
  <si>
    <t>Orge</t>
  </si>
  <si>
    <t>Maïs grain</t>
  </si>
  <si>
    <t>Seigle</t>
  </si>
  <si>
    <t>Sorgho grain</t>
  </si>
  <si>
    <t>Lin graines</t>
  </si>
  <si>
    <t>Lin tourteaux</t>
  </si>
  <si>
    <t>Féverole</t>
  </si>
  <si>
    <t>Lupin</t>
  </si>
  <si>
    <t>Pois graines</t>
  </si>
  <si>
    <t>Soja graines</t>
  </si>
  <si>
    <t>Soja tourteau</t>
  </si>
  <si>
    <t>Colza graines</t>
  </si>
  <si>
    <t>Colza tourteaux</t>
  </si>
  <si>
    <t>Tournesol graines</t>
  </si>
  <si>
    <t>Tournesol tourteaux</t>
  </si>
  <si>
    <t>Poudre de lait</t>
  </si>
  <si>
    <t>Surface extérieure liée aux achat (ha)</t>
  </si>
  <si>
    <t>SAU</t>
  </si>
  <si>
    <t>Surface extérieure mobilisée</t>
  </si>
  <si>
    <t xml:space="preserve">SAU </t>
  </si>
  <si>
    <t>Nature de l'intrant</t>
  </si>
  <si>
    <t>Quantité utilisée</t>
  </si>
  <si>
    <t>TOTAL MJ</t>
  </si>
  <si>
    <t xml:space="preserve">CO2 émis par unité </t>
  </si>
  <si>
    <t>Calcul émissions CH4</t>
  </si>
  <si>
    <t>Nb d'animaux</t>
  </si>
  <si>
    <t>45,6 MJ/litre</t>
  </si>
  <si>
    <t>3,24 kg éq CO2/litre</t>
  </si>
  <si>
    <t xml:space="preserve">Porcs, truies, verrats </t>
  </si>
  <si>
    <t>10,4 MJ/kWh</t>
  </si>
  <si>
    <t>0,078 kg éq CO2/kWh</t>
  </si>
  <si>
    <t>Vaches laitières</t>
  </si>
  <si>
    <t>55,7 MJ/kg</t>
  </si>
  <si>
    <t>3,41 kg éq CO2/kg</t>
  </si>
  <si>
    <r>
      <t xml:space="preserve">Veaux moins de 1 an </t>
    </r>
    <r>
      <rPr>
        <b/>
        <i/>
        <sz val="10"/>
        <rFont val="Arial"/>
        <family val="2"/>
      </rPr>
      <t>hors veaux de 8-15 jours</t>
    </r>
  </si>
  <si>
    <t>54,3 MJ/kg N</t>
  </si>
  <si>
    <t>5,334 kg éq CO2/kg</t>
  </si>
  <si>
    <t>Génisses 1-2 ans (bovin lait)</t>
  </si>
  <si>
    <t>2,7 MJ/kg</t>
  </si>
  <si>
    <t>0,354 kg éq CO2/kg</t>
  </si>
  <si>
    <t xml:space="preserve">Mâles 1-2 ans (bovin lait) </t>
  </si>
  <si>
    <t>5,7 MJ/kg</t>
  </si>
  <si>
    <t>1,579 kg éq CO2/kg</t>
  </si>
  <si>
    <t>Génisses +2 ans (bovin lait)</t>
  </si>
  <si>
    <t>3,3 MJ/kg</t>
  </si>
  <si>
    <t>0,460 kg éq CO2/kg</t>
  </si>
  <si>
    <t>Vaches allaitantes</t>
  </si>
  <si>
    <t>3,2 MJ/kg</t>
  </si>
  <si>
    <t>0,294 kg éq CO2/kg</t>
  </si>
  <si>
    <t xml:space="preserve"> Femelles 0 - 9 mois (bovin viande)</t>
  </si>
  <si>
    <t>13,2 MJ/kg</t>
  </si>
  <si>
    <t>0,961 kg éq CO2/kg</t>
  </si>
  <si>
    <t>Femelles 9-12 mois (bovin viande)</t>
  </si>
  <si>
    <t>2,5 MJ/kg</t>
  </si>
  <si>
    <t>0,3 kg éq CO2/kg</t>
  </si>
  <si>
    <t>Génisses 1-2 ans (bovin viande)</t>
  </si>
  <si>
    <t>4 MJ/kg</t>
  </si>
  <si>
    <t>0,6 kg éq CO2/kg</t>
  </si>
  <si>
    <t>Génisses +2 ans (bovin viande)</t>
  </si>
  <si>
    <t>43,3 MJ/kg</t>
  </si>
  <si>
    <t>0,11 kg éq CO2/kg</t>
  </si>
  <si>
    <t xml:space="preserve">Mâles 0 - 9 mois (bovin viande) </t>
  </si>
  <si>
    <t>87 MJ/kg</t>
  </si>
  <si>
    <t>2,59 kg éq CO2/kg</t>
  </si>
  <si>
    <t xml:space="preserve">Mâles 9 - 12 mois (bovin viande) </t>
  </si>
  <si>
    <t>Total MJ</t>
  </si>
  <si>
    <t>Total kg CO2</t>
  </si>
  <si>
    <t xml:space="preserve">Mâles 1-2 ans (bovin viande) </t>
  </si>
  <si>
    <t>Total EQF</t>
  </si>
  <si>
    <t>Total EQF/ha SAU</t>
  </si>
  <si>
    <t>Béliers</t>
  </si>
  <si>
    <t>Brebis laitières</t>
  </si>
  <si>
    <t>Agnelles laitières</t>
  </si>
  <si>
    <t>Agneaux</t>
  </si>
  <si>
    <t>Brebis allaitantes</t>
  </si>
  <si>
    <t>Agnelles allaitantes</t>
  </si>
  <si>
    <t>TOTAL tonne CO2</t>
  </si>
  <si>
    <t>Chèvres</t>
  </si>
  <si>
    <t>TOTAL tonne CH4</t>
  </si>
  <si>
    <t>Chevrettes</t>
  </si>
  <si>
    <t>Boucs</t>
  </si>
  <si>
    <r>
      <t>Ce calculateur utilise les données du logiciel Dia'Terre</t>
    </r>
    <r>
      <rPr>
        <b/>
        <i/>
        <vertAlign val="superscript"/>
        <sz val="9"/>
        <color indexed="20"/>
        <rFont val="Arial"/>
        <family val="2"/>
        <charset val="1"/>
      </rPr>
      <t>®</t>
    </r>
    <r>
      <rPr>
        <b/>
        <i/>
        <sz val="9"/>
        <color indexed="20"/>
        <rFont val="Arial"/>
        <family val="2"/>
        <charset val="1"/>
      </rPr>
      <t>. Pour en savoir plus : www.ademe.fr</t>
    </r>
  </si>
  <si>
    <t>Total kg CH4</t>
  </si>
  <si>
    <t>Energie dépensée par unité</t>
  </si>
  <si>
    <t>Total kg CO2 émis</t>
  </si>
  <si>
    <t>Total kg CH4 émis</t>
  </si>
  <si>
    <t>Code couleur</t>
  </si>
  <si>
    <t>Zone de saisie des données</t>
  </si>
  <si>
    <t>Coefficient, paramètre (bibliographie)</t>
  </si>
  <si>
    <t>Unités</t>
  </si>
  <si>
    <t>Résultats intermédiaires (formules)</t>
  </si>
  <si>
    <t xml:space="preserve">E1 - Entrée par engrais chimiques </t>
  </si>
  <si>
    <t>Type d'engrais</t>
  </si>
  <si>
    <t>Quantités utilisées</t>
  </si>
  <si>
    <t>Report de l'année précédente</t>
  </si>
  <si>
    <t>Report sur l'année suivante</t>
  </si>
  <si>
    <t>N</t>
  </si>
  <si>
    <t>P2O5</t>
  </si>
  <si>
    <t>K2O</t>
  </si>
  <si>
    <t>tonnes</t>
  </si>
  <si>
    <t>kg /1000 kg d'engrais</t>
  </si>
  <si>
    <t xml:space="preserve">kg </t>
  </si>
  <si>
    <t>K Chlorure de potasse</t>
  </si>
  <si>
    <t>K Patenkali</t>
  </si>
  <si>
    <t>K Sulfate de potasse</t>
  </si>
  <si>
    <t>N Ammonitrate</t>
  </si>
  <si>
    <t>N Cyanamide de chaux</t>
  </si>
  <si>
    <t>N Nitrate de chaux</t>
  </si>
  <si>
    <t>N Nitrate de chaux et magnésie</t>
  </si>
  <si>
    <t>N Nitrate de soude du Chili</t>
  </si>
  <si>
    <t>N Orgabio</t>
  </si>
  <si>
    <t>N Sulfate d'ammoniaque</t>
  </si>
  <si>
    <t>N Sulfonitrate</t>
  </si>
  <si>
    <t>N Urée - Perlurée</t>
  </si>
  <si>
    <t>NK Nitrate de Potasse</t>
  </si>
  <si>
    <t>NP Phosphate d'ammoniaque 18-46</t>
  </si>
  <si>
    <t>NPK Agrobio +</t>
  </si>
  <si>
    <t>NPK Azofort</t>
  </si>
  <si>
    <t>NPK Composts urbains</t>
  </si>
  <si>
    <t>NPK Engrais Ternaire 14-8-20</t>
  </si>
  <si>
    <t>NPK Guanofort</t>
  </si>
  <si>
    <t>P Scories Thomas</t>
  </si>
  <si>
    <t>P Super 18</t>
  </si>
  <si>
    <t>P Super 45</t>
  </si>
  <si>
    <t xml:space="preserve">PK Engrais Binaire </t>
  </si>
  <si>
    <t>Tourbes</t>
  </si>
  <si>
    <t>Autre</t>
  </si>
  <si>
    <t>Total (kg)</t>
  </si>
  <si>
    <t>kg</t>
  </si>
  <si>
    <t>Conversion</t>
  </si>
  <si>
    <t>P</t>
  </si>
  <si>
    <t>K</t>
  </si>
  <si>
    <t>Total entrée engrais artificiels (kg)</t>
  </si>
  <si>
    <t xml:space="preserve">E2 - Entrée par engrais organiques </t>
  </si>
  <si>
    <t xml:space="preserve">Les engrais organiques achetés </t>
  </si>
  <si>
    <r>
      <t>tonnes ou m</t>
    </r>
    <r>
      <rPr>
        <vertAlign val="superscript"/>
        <sz val="10"/>
        <rFont val="Arial"/>
        <family val="2"/>
      </rPr>
      <t>3</t>
    </r>
  </si>
  <si>
    <t xml:space="preserve">kg N/m3 ou kg N /tonnes </t>
  </si>
  <si>
    <t xml:space="preserve">kg P2O5/m3 ou kg P2O5/tonnes </t>
  </si>
  <si>
    <t xml:space="preserve">kg K2O/m3 ou kg K2O/tonnes </t>
  </si>
  <si>
    <t>Algues de mer</t>
  </si>
  <si>
    <t>Boue Station épuration</t>
  </si>
  <si>
    <t>Compost  méthode Guernevez</t>
  </si>
  <si>
    <t>Compost à base de marc de raisin</t>
  </si>
  <si>
    <t>Compost de déchets verts</t>
  </si>
  <si>
    <t>Compost de déchets verts + fientes de volaille</t>
  </si>
  <si>
    <t>Compost de déchets verts + fumier de volaille</t>
  </si>
  <si>
    <t>Compost de déchets verts avec du lisier de porc</t>
  </si>
  <si>
    <t>Compost fumier bovins &lt; 6 mois</t>
  </si>
  <si>
    <t>Compost fumier porc litière accumulée</t>
  </si>
  <si>
    <t>Compost fumier porc litière raclée</t>
  </si>
  <si>
    <t>Compost fumier volailles</t>
  </si>
  <si>
    <t>Compost fumiers + tourteaux (type Végor, Végéh...)</t>
  </si>
  <si>
    <t>Eaux souillées (blanches + vertes + brunes)</t>
  </si>
  <si>
    <t>Fientes de poules (humides)</t>
  </si>
  <si>
    <t>Fientes de poules (sèches après pré-séchage)</t>
  </si>
  <si>
    <t>Fientes de poules (sèches après séchage rapide)</t>
  </si>
  <si>
    <t>Fumier de bovin mou (logettes ou aire exercice paillées)</t>
  </si>
  <si>
    <t>Fumier de bovins viande</t>
  </si>
  <si>
    <t>Fumier de canards</t>
  </si>
  <si>
    <t>Fumier de cheval (pailleux)</t>
  </si>
  <si>
    <t>Fumier de dindes  repro (après stockage)</t>
  </si>
  <si>
    <t>Fumier de dindes futures repro (après stockage)</t>
  </si>
  <si>
    <t>Fumier de lapins</t>
  </si>
  <si>
    <t>Fumier de pintades (après stockage)</t>
  </si>
  <si>
    <t>Fumier de pintades (sortie bâtiment)</t>
  </si>
  <si>
    <t>Fumier de porcs (engraissement sur litière accumulée sur paille)</t>
  </si>
  <si>
    <t>Fumier de porcs (engraissement sur sciure)</t>
  </si>
  <si>
    <t>Fumier de porcs (truies gestantes)</t>
  </si>
  <si>
    <t>Fumier de poules repro (après stockage)</t>
  </si>
  <si>
    <t>Fumier de poules repro frais</t>
  </si>
  <si>
    <t>Fumier de poulets et dindes (après stockage)</t>
  </si>
  <si>
    <t>Fumier de poulets et dindes (sortie bâtiment)</t>
  </si>
  <si>
    <t>Fumier de poulets label et bio (après stockage)</t>
  </si>
  <si>
    <t>Fumier de poulets label frais</t>
  </si>
  <si>
    <t>Fumier de poulettes (après stockage)</t>
  </si>
  <si>
    <t>Fumier de poulettes frais</t>
  </si>
  <si>
    <t>Fumier de Vaches (aire de couchage paillée)</t>
  </si>
  <si>
    <t>Fumier de Veaux</t>
  </si>
  <si>
    <t>Fumier d'ovins, de caprins</t>
  </si>
  <si>
    <t>Lisier de bovins viande sur caillebotis</t>
  </si>
  <si>
    <t>Lisier de canards</t>
  </si>
  <si>
    <t>Lisier de lapins</t>
  </si>
  <si>
    <t>Lisier de porcs (engraissement concentré)</t>
  </si>
  <si>
    <t>Lisier de porcs (maternités, gestantes)</t>
  </si>
  <si>
    <t>Lisier de porcs (moyen dilué)</t>
  </si>
  <si>
    <t>Lisier de porcs (moyen non dilué)</t>
  </si>
  <si>
    <t>Lisier de porcs (préfosse d'engraissement)</t>
  </si>
  <si>
    <t>Lisier de poules pondeuses</t>
  </si>
  <si>
    <t>Lisier de Vache dilué: aire exercice découverte</t>
  </si>
  <si>
    <t>Lisier de Vache si fosse batiment ou caillebotis</t>
  </si>
  <si>
    <t>Lisier de Vache si logettes/raclé fosse extérieure</t>
  </si>
  <si>
    <t>Lisier de veaux de boucherie</t>
  </si>
  <si>
    <t>Lisier d'ovins</t>
  </si>
  <si>
    <t>Marc de Raisin</t>
  </si>
  <si>
    <t>Purins</t>
  </si>
  <si>
    <t>Pulpes de raisin</t>
  </si>
  <si>
    <t>Total entrée engrais organique (kg)</t>
  </si>
  <si>
    <t>E3 - Entrée d'azote atmosphérique par les légumineuses</t>
  </si>
  <si>
    <t>RG - Trèfle blanc</t>
  </si>
  <si>
    <t>RG + autres légumineuses (trèfle violet, vesce, lotier)</t>
  </si>
  <si>
    <t>%</t>
  </si>
  <si>
    <t>tonnes MS/ha</t>
  </si>
  <si>
    <t>N fixé/tMS trèfle</t>
  </si>
  <si>
    <t>kg N/tMS trèfle</t>
  </si>
  <si>
    <t xml:space="preserve">Azote fixé </t>
  </si>
  <si>
    <t>kg N/ha</t>
  </si>
  <si>
    <t>ha</t>
  </si>
  <si>
    <t>Azote total fixé</t>
  </si>
  <si>
    <t xml:space="preserve">kg N </t>
  </si>
  <si>
    <t>E3.2 - Culture de légumineuses pures</t>
  </si>
  <si>
    <t xml:space="preserve">Surface </t>
  </si>
  <si>
    <t>N fixé/tMS</t>
  </si>
  <si>
    <t>tMS/ha</t>
  </si>
  <si>
    <t>kg N/tMS</t>
  </si>
  <si>
    <t>Trèfle violet pur</t>
  </si>
  <si>
    <t>Luzerne</t>
  </si>
  <si>
    <t xml:space="preserve">Total </t>
  </si>
  <si>
    <t>Pois protéagineux</t>
  </si>
  <si>
    <t>Pois de conserve</t>
  </si>
  <si>
    <t>Feverole</t>
  </si>
  <si>
    <t>haricot grain</t>
  </si>
  <si>
    <t>Haricot vert</t>
  </si>
  <si>
    <t>kg N</t>
  </si>
  <si>
    <t>E4 - Entrée par les aliments</t>
  </si>
  <si>
    <t>Matières premières</t>
  </si>
  <si>
    <t>Quantité achetée (tonnes brutes)</t>
  </si>
  <si>
    <t>Teneur en matière sèche</t>
  </si>
  <si>
    <t>Quantité achetée (tonnes de matières séches)</t>
  </si>
  <si>
    <t>Tonnes brutes</t>
  </si>
  <si>
    <t>Tonne de MS</t>
  </si>
  <si>
    <t>kg / Tonne MS</t>
  </si>
  <si>
    <t>kg P</t>
  </si>
  <si>
    <t>kg K</t>
  </si>
  <si>
    <t>Alim Lapin adulte en entretien</t>
  </si>
  <si>
    <t>Aliment Cochettes</t>
  </si>
  <si>
    <t>Aliment complet Vache Laitière 18</t>
  </si>
  <si>
    <t>Aliment complet Vache Laitière 22</t>
  </si>
  <si>
    <t>Aliment complet Vache Laitière 30</t>
  </si>
  <si>
    <t>Aliment complet Vache Laitière 40</t>
  </si>
  <si>
    <t>Aliment Dindes</t>
  </si>
  <si>
    <t>Aliment Jeune Lapin (4/12 sem)</t>
  </si>
  <si>
    <t>Aliment Jeunes Bovins</t>
  </si>
  <si>
    <t>Aliment Lapine allaitante</t>
  </si>
  <si>
    <t>Aliment Pondeuses</t>
  </si>
  <si>
    <t xml:space="preserve">Aliment Porc Charcutier biphase </t>
  </si>
  <si>
    <t>Aliment Porc Charcutier Complément</t>
  </si>
  <si>
    <t>Aliment Porcelets 1er Age</t>
  </si>
  <si>
    <t>Aliment Porcelets 2ème Age</t>
  </si>
  <si>
    <t>Aliment Porcs Charcutiers standard</t>
  </si>
  <si>
    <t>Aliment Poulets/Pintades</t>
  </si>
  <si>
    <t>Aliment Poulettes</t>
  </si>
  <si>
    <t>Aliment Truies allaitantes</t>
  </si>
  <si>
    <t>Aliment Truies compl/céréales</t>
  </si>
  <si>
    <t>Aliment Truies gestantes</t>
  </si>
  <si>
    <t>Aliment Veaux</t>
  </si>
  <si>
    <t>Betterave fourragère</t>
  </si>
  <si>
    <t>Betteraves 1/2 sucrière</t>
  </si>
  <si>
    <t>Drèches de brasserie</t>
  </si>
  <si>
    <t>Endives</t>
  </si>
  <si>
    <t>Ensilage d'herbe (enrubanné)</t>
  </si>
  <si>
    <t>Fanes de pois</t>
  </si>
  <si>
    <t>Farine de poisson 65</t>
  </si>
  <si>
    <t>Farine de poisson 70</t>
  </si>
  <si>
    <t>Foin d'association graminée/légumineuse</t>
  </si>
  <si>
    <t>Foin graminées dominantes épiaison</t>
  </si>
  <si>
    <t>Foin graminées dominantes floraison</t>
  </si>
  <si>
    <t>Gluten feed</t>
  </si>
  <si>
    <t>Gluten meal</t>
  </si>
  <si>
    <t>Lactoserum</t>
  </si>
  <si>
    <t>Lin (graines)</t>
  </si>
  <si>
    <t>Lupin Blanc (Graines)</t>
  </si>
  <si>
    <t>Luzerne déshydratée 16</t>
  </si>
  <si>
    <t>Mais ensilage</t>
  </si>
  <si>
    <t>Mais grain</t>
  </si>
  <si>
    <t>Manioc</t>
  </si>
  <si>
    <t>Marc de pomme déshydraté</t>
  </si>
  <si>
    <t>Marc de raisin épépiné</t>
  </si>
  <si>
    <t>Mélange céréales-légumineuses</t>
  </si>
  <si>
    <t>Mélasse de cannes</t>
  </si>
  <si>
    <t>Mélasses de betteraves</t>
  </si>
  <si>
    <t>Nourriture pour poussin</t>
  </si>
  <si>
    <t>Paille</t>
  </si>
  <si>
    <t>Pulpes betteraves déshydratées/surpréssées</t>
  </si>
  <si>
    <t>Radicelles d'orge</t>
  </si>
  <si>
    <t>Son de blé</t>
  </si>
  <si>
    <t>Son d'orge</t>
  </si>
  <si>
    <t>Topinambour</t>
  </si>
  <si>
    <t>Tourteau arachide 48</t>
  </si>
  <si>
    <t>Tourteau arachide 50</t>
  </si>
  <si>
    <t>Tourteau colza 35</t>
  </si>
  <si>
    <t>Tourteau coprah</t>
  </si>
  <si>
    <t>Tourteau lin</t>
  </si>
  <si>
    <t>Tourteau soja 44</t>
  </si>
  <si>
    <t>Tourteau soja 46</t>
  </si>
  <si>
    <t>Tourteau soja 48</t>
  </si>
  <si>
    <t>Tourteau soja tané</t>
  </si>
  <si>
    <t>Tourteau tournesol 35</t>
  </si>
  <si>
    <t>Urée</t>
  </si>
  <si>
    <t>Total</t>
  </si>
  <si>
    <t>E5 - Entrée par les animaux</t>
  </si>
  <si>
    <t xml:space="preserve">Achats d'animaux </t>
  </si>
  <si>
    <t>Nombre achetés</t>
  </si>
  <si>
    <t>Poids unitaire (kg)</t>
  </si>
  <si>
    <t>Nombre</t>
  </si>
  <si>
    <t>kg N/tonnes</t>
  </si>
  <si>
    <t>kg P/tonnes</t>
  </si>
  <si>
    <t>kg K/tonnes</t>
  </si>
  <si>
    <t>Agneau</t>
  </si>
  <si>
    <t>Agnelle</t>
  </si>
  <si>
    <t>Brebis</t>
  </si>
  <si>
    <t>Broutard</t>
  </si>
  <si>
    <t>Canard jeune</t>
  </si>
  <si>
    <t>Chevaux</t>
  </si>
  <si>
    <t>Cochette</t>
  </si>
  <si>
    <t>Génisse pleine</t>
  </si>
  <si>
    <t>Mère lapine</t>
  </si>
  <si>
    <t>Oeuf de canard</t>
  </si>
  <si>
    <t>Oeuf de dinde</t>
  </si>
  <si>
    <t>Oeuf de poule</t>
  </si>
  <si>
    <t>Oeuf d'oie</t>
  </si>
  <si>
    <t>Pintades (jeunes)</t>
  </si>
  <si>
    <t>Porcelet</t>
  </si>
  <si>
    <t>Poulets</t>
  </si>
  <si>
    <t>Poulettes</t>
  </si>
  <si>
    <t>Poussins</t>
  </si>
  <si>
    <t>Taureau</t>
  </si>
  <si>
    <t>Vache laitière</t>
  </si>
  <si>
    <t>Veau de 8 jours</t>
  </si>
  <si>
    <t>Verrat (jeune)</t>
  </si>
  <si>
    <t>S1 - Sortie par les engrais organiques</t>
  </si>
  <si>
    <t>Type d'effluents</t>
  </si>
  <si>
    <t>Quantités quittant l'exploitation</t>
  </si>
  <si>
    <t>(tonnes ou m3)</t>
  </si>
  <si>
    <t>Fumier de bovins</t>
  </si>
  <si>
    <t>Fumier de porcs (engraissement sur litière accumulée)</t>
  </si>
  <si>
    <t>S2 - Sortie par les végétaux</t>
  </si>
  <si>
    <t>Cultures</t>
  </si>
  <si>
    <t>Quantité vendue</t>
  </si>
  <si>
    <t>Avoine (grain)</t>
  </si>
  <si>
    <t>Blé (grain)</t>
  </si>
  <si>
    <t>Blé dur (grain)</t>
  </si>
  <si>
    <t>Chanvre (paille)</t>
  </si>
  <si>
    <t>Colza hiver (grain)</t>
  </si>
  <si>
    <t>Lupin Blanc (graines)</t>
  </si>
  <si>
    <t>Orge (grain)</t>
  </si>
  <si>
    <t>Pois protéagineux (grain)</t>
  </si>
  <si>
    <t>Sarrazin (grain)</t>
  </si>
  <si>
    <t>Seigle (grain)</t>
  </si>
  <si>
    <t>Semences (graminées)</t>
  </si>
  <si>
    <t>Triticale (grain)</t>
  </si>
  <si>
    <t>Noix (Cerneau + Coque)</t>
  </si>
  <si>
    <t>S3 - Sortie par les Fruits et légumes</t>
  </si>
  <si>
    <t>Type de fourrages</t>
  </si>
  <si>
    <t>Quantité vendues</t>
  </si>
  <si>
    <r>
      <t>Tonnes brutes (</t>
    </r>
    <r>
      <rPr>
        <b/>
        <sz val="12"/>
        <rFont val="Arial"/>
        <family val="2"/>
      </rPr>
      <t>*</t>
    </r>
    <r>
      <rPr>
        <sz val="10"/>
        <rFont val="Arial"/>
        <family val="2"/>
      </rPr>
      <t>ou pour 1000 têtes)</t>
    </r>
  </si>
  <si>
    <r>
      <t>kg / Tonne de produits frais (</t>
    </r>
    <r>
      <rPr>
        <b/>
        <sz val="12"/>
        <rFont val="Arial"/>
        <family val="2"/>
      </rPr>
      <t>*</t>
    </r>
    <r>
      <rPr>
        <sz val="10"/>
        <rFont val="Arial"/>
        <family val="2"/>
      </rPr>
      <t>ou kg / 1000 têtes)</t>
    </r>
  </si>
  <si>
    <t>Artichauts camus, castel</t>
  </si>
  <si>
    <r>
      <t xml:space="preserve">Artichauts violet </t>
    </r>
    <r>
      <rPr>
        <b/>
        <sz val="12"/>
        <rFont val="MS Sans Serif"/>
        <family val="2"/>
      </rPr>
      <t>*</t>
    </r>
  </si>
  <si>
    <t>Brocolis industriel</t>
  </si>
  <si>
    <t>Brocolis marché frais</t>
  </si>
  <si>
    <t>Carotte de terre</t>
  </si>
  <si>
    <t>Carotte grosse industrie</t>
  </si>
  <si>
    <t>Carotte jeune industrie</t>
  </si>
  <si>
    <t>Céleri branche</t>
  </si>
  <si>
    <t>Céleri rave</t>
  </si>
  <si>
    <t>Choux Cabu rouge et vert (pommes)</t>
  </si>
  <si>
    <r>
      <t xml:space="preserve">Choux fleurs couronné (vrac) </t>
    </r>
    <r>
      <rPr>
        <b/>
        <sz val="12"/>
        <rFont val="MS Sans Serif"/>
        <family val="2"/>
      </rPr>
      <t>*</t>
    </r>
  </si>
  <si>
    <r>
      <t xml:space="preserve">Choux fleurs surgélation (conditionné au champ) </t>
    </r>
    <r>
      <rPr>
        <b/>
        <sz val="12"/>
        <rFont val="MS Sans Serif"/>
        <family val="2"/>
      </rPr>
      <t>*</t>
    </r>
  </si>
  <si>
    <t>Choux milan</t>
  </si>
  <si>
    <t>Courgettes</t>
  </si>
  <si>
    <t>Echalotte</t>
  </si>
  <si>
    <t>Endives (chicons)</t>
  </si>
  <si>
    <t>Endives (racines)</t>
  </si>
  <si>
    <t>Epinard</t>
  </si>
  <si>
    <t>Fenouil</t>
  </si>
  <si>
    <t>Flageolet</t>
  </si>
  <si>
    <t>Fraise gariguettes et darselect</t>
  </si>
  <si>
    <t>Haricot coco frais (gousse)</t>
  </si>
  <si>
    <t>Haricot grain sec</t>
  </si>
  <si>
    <r>
      <t xml:space="preserve">Laitue Iceberg </t>
    </r>
    <r>
      <rPr>
        <b/>
        <sz val="12"/>
        <rFont val="MS Sans Serif"/>
        <family val="2"/>
      </rPr>
      <t>*</t>
    </r>
  </si>
  <si>
    <t>Navet</t>
  </si>
  <si>
    <t>Oignon</t>
  </si>
  <si>
    <t>Persil 4 coupes</t>
  </si>
  <si>
    <t>Poireau</t>
  </si>
  <si>
    <t>Pomme de terre consommation</t>
  </si>
  <si>
    <t>Pomme de terre plant</t>
  </si>
  <si>
    <t xml:space="preserve">Pomme de terre primeur </t>
  </si>
  <si>
    <t xml:space="preserve">Raisin (baies pour vinification) </t>
  </si>
  <si>
    <r>
      <t>Salades de plein champ</t>
    </r>
    <r>
      <rPr>
        <b/>
        <sz val="12"/>
        <rFont val="MS Sans Serif"/>
        <family val="2"/>
      </rPr>
      <t xml:space="preserve"> *</t>
    </r>
  </si>
  <si>
    <t>Soja</t>
  </si>
  <si>
    <t>Tournesol (grain)</t>
  </si>
  <si>
    <t>S4 - Sortie par le lait et les œufs</t>
  </si>
  <si>
    <t>Production de lait</t>
  </si>
  <si>
    <t>Quantité de lait</t>
  </si>
  <si>
    <t xml:space="preserve">TP </t>
  </si>
  <si>
    <t>litre</t>
  </si>
  <si>
    <t>(g/litre)</t>
  </si>
  <si>
    <t>kg / 1000l</t>
  </si>
  <si>
    <t>Vache</t>
  </si>
  <si>
    <t>Chèvre</t>
  </si>
  <si>
    <t>Production d'œufs</t>
  </si>
  <si>
    <t>Nombre d'œufs</t>
  </si>
  <si>
    <t xml:space="preserve">Poids unitaire </t>
  </si>
  <si>
    <t>Nombres</t>
  </si>
  <si>
    <t>Total lait+œufs</t>
  </si>
  <si>
    <t>S5 - Sortie par les animaux</t>
  </si>
  <si>
    <t>Vente de viande</t>
  </si>
  <si>
    <t>Nombre vendus</t>
  </si>
  <si>
    <t>Poids de carcasse (kg)</t>
  </si>
  <si>
    <t>Nombre/an</t>
  </si>
  <si>
    <t>kg / animal</t>
  </si>
  <si>
    <t>Bison</t>
  </si>
  <si>
    <t>Boeufs</t>
  </si>
  <si>
    <t>Brebis de réforme</t>
  </si>
  <si>
    <t>Caille</t>
  </si>
  <si>
    <t>Canard</t>
  </si>
  <si>
    <t>Cerf</t>
  </si>
  <si>
    <t>Chevreau</t>
  </si>
  <si>
    <t>Dinde moyenne</t>
  </si>
  <si>
    <t>Génisse (viande)</t>
  </si>
  <si>
    <t>Lapin</t>
  </si>
  <si>
    <t>Mouton</t>
  </si>
  <si>
    <t>Oie</t>
  </si>
  <si>
    <t>Pigeon</t>
  </si>
  <si>
    <t>Pintade</t>
  </si>
  <si>
    <t>Porc charcutier</t>
  </si>
  <si>
    <t>Poule de réforme</t>
  </si>
  <si>
    <t>Poulet de chair</t>
  </si>
  <si>
    <t>Poulet exportation</t>
  </si>
  <si>
    <t>Poulet label</t>
  </si>
  <si>
    <t>Poulet standard</t>
  </si>
  <si>
    <t>Poulette 20 semaines</t>
  </si>
  <si>
    <t>Poussin</t>
  </si>
  <si>
    <t>Taurillon</t>
  </si>
  <si>
    <t>Truie de réforme</t>
  </si>
  <si>
    <t>Vache de réforme</t>
  </si>
  <si>
    <t>Veau de boucherie</t>
  </si>
  <si>
    <t>Verrat (réforme)</t>
  </si>
  <si>
    <t>Entrées</t>
  </si>
  <si>
    <t xml:space="preserve">E1 - Engrais chimiques </t>
  </si>
  <si>
    <t xml:space="preserve">E2 - Engrais organiques </t>
  </si>
  <si>
    <t>E3 - Azote atmosphérique par les légumineuses</t>
  </si>
  <si>
    <t>E4 - Aliments</t>
  </si>
  <si>
    <t>E5 - Animaux</t>
  </si>
  <si>
    <t>Total entrées</t>
  </si>
  <si>
    <t>Sorties</t>
  </si>
  <si>
    <t>S1 - Engrais organiques</t>
  </si>
  <si>
    <t>S2 - Végétaux</t>
  </si>
  <si>
    <t>S3 - Légumes</t>
  </si>
  <si>
    <t>S4 - Lait et œufs</t>
  </si>
  <si>
    <t>S5 - Animaux</t>
  </si>
  <si>
    <t>Total sorties</t>
  </si>
  <si>
    <t>SAU (ha)</t>
  </si>
  <si>
    <t>Solde du bilan</t>
  </si>
  <si>
    <t>kg N /ha SAU</t>
  </si>
  <si>
    <t>kg P/ha SAU</t>
  </si>
  <si>
    <t>kg K/ha SAU</t>
  </si>
  <si>
    <t>Calcul de l'empreinte foncière</t>
  </si>
  <si>
    <t>Empreinte foncière</t>
  </si>
  <si>
    <t>60 à 65%</t>
  </si>
  <si>
    <t>N°</t>
  </si>
  <si>
    <t>Outil de calcul du Bilan apparent Version 2005 (F. Vertes, Inra Quimper)</t>
  </si>
  <si>
    <r>
      <t xml:space="preserve">Résumé sipmlifié du </t>
    </r>
    <r>
      <rPr>
        <i/>
        <sz val="10"/>
        <rFont val="Arial"/>
        <family val="2"/>
      </rPr>
      <t>bilan des minéraux, cahier de l'éleveur, comptabilité des minéraux azote, phosphore, potasse</t>
    </r>
    <r>
      <rPr>
        <sz val="10"/>
        <rFont val="Arial"/>
        <family val="2"/>
      </rPr>
      <t xml:space="preserve"> publié par l'Institut de l'élevage, D'après La méthode IDEA Guide d'utilisation 2002</t>
    </r>
  </si>
  <si>
    <t>RIBEREAU-GAYON J., PEYNAUD E., Traité d’ampélologie, sciences et techniques de la vigne, tome 1 – biologie de la vigne, sols de vignobles, Dunod, Paris, 1971</t>
  </si>
  <si>
    <t>Données moyennes tirées de la bibliographie (d'après contact avec la Station expérimentale de Creysse)</t>
  </si>
  <si>
    <t xml:space="preserve">ETUDE DES CARACTERISTIQUES ENVIRONNEMENTALES DU CHANVRE PAR L’ANALYSE DE SON CYCLE DE VIE (Ministère de l'agriculture et de la pêche, septembre 2006) </t>
  </si>
  <si>
    <t>Fertliser avec les engrais de ferme, Institut de l'élevage, ITAVI, ITCF, ITP, 2001</t>
  </si>
  <si>
    <t>Institut de l'élevage</t>
  </si>
  <si>
    <t>Vivabilité</t>
  </si>
  <si>
    <t>Ancrage territorial</t>
  </si>
  <si>
    <t>Transmissibilité</t>
  </si>
  <si>
    <t>Surface totale mobilisée</t>
  </si>
  <si>
    <t>Adapté pour IDEA d'après F. Vertes  (INRA Quimper, version janvier 2005)</t>
  </si>
  <si>
    <t>Ne remplir que les cases jaunes</t>
  </si>
  <si>
    <t>Contribution au réchauffement climatique</t>
  </si>
  <si>
    <t>Mâles +2 ans (bovin viande ou lait dt taureau)</t>
  </si>
  <si>
    <t>Références</t>
  </si>
  <si>
    <t>&gt; 60%</t>
  </si>
  <si>
    <t>&lt; 20%</t>
  </si>
  <si>
    <t>Autonomie                         économique</t>
  </si>
  <si>
    <t>&lt; 55%</t>
  </si>
  <si>
    <t>&gt; 75%</t>
  </si>
  <si>
    <t>&lt; 25 %</t>
  </si>
  <si>
    <t>&gt; 65%</t>
  </si>
  <si>
    <t>&lt; 5%</t>
  </si>
  <si>
    <t>&gt; 25%</t>
  </si>
  <si>
    <t>&lt; 30%</t>
  </si>
  <si>
    <t>&gt; 70%</t>
  </si>
  <si>
    <t>Sensibilité aux aides</t>
  </si>
  <si>
    <t>Aides / Résultat Social</t>
  </si>
  <si>
    <t>&gt; 100%</t>
  </si>
  <si>
    <t>80 à 100%</t>
  </si>
  <si>
    <t>60 à 80%</t>
  </si>
  <si>
    <t>40 à 60%</t>
  </si>
  <si>
    <t>20 à 40%</t>
  </si>
  <si>
    <t>&lt; 0,4 SMIC</t>
  </si>
  <si>
    <t>&gt; 2 SMIC</t>
  </si>
  <si>
    <t>&lt; 12 000 €</t>
  </si>
  <si>
    <t>12 à 18 000 €</t>
  </si>
  <si>
    <t>18 à 24 000 €</t>
  </si>
  <si>
    <t>24 à 30 000 €</t>
  </si>
  <si>
    <t>30 à 36 000 €</t>
  </si>
  <si>
    <t>&gt; 250 000 €</t>
  </si>
  <si>
    <t>190 à 250 000 €</t>
  </si>
  <si>
    <t>150 à 190 000 €</t>
  </si>
  <si>
    <t>110 à 150 000 €</t>
  </si>
  <si>
    <t>70 à 110 000 €</t>
  </si>
  <si>
    <t>&lt;  à 70 000 €</t>
  </si>
  <si>
    <r>
      <t xml:space="preserve">&lt; 70% </t>
    </r>
    <r>
      <rPr>
        <sz val="8"/>
        <rFont val="Arial"/>
        <family val="2"/>
      </rPr>
      <t>réf. RICA</t>
    </r>
  </si>
  <si>
    <r>
      <t xml:space="preserve">70 à 100% </t>
    </r>
    <r>
      <rPr>
        <sz val="8"/>
        <rFont val="Arial"/>
        <family val="2"/>
      </rPr>
      <t>réf. RICA</t>
    </r>
  </si>
  <si>
    <r>
      <t xml:space="preserve">100 à 130% </t>
    </r>
    <r>
      <rPr>
        <sz val="8"/>
        <rFont val="Arial"/>
        <family val="2"/>
      </rPr>
      <t>réf. RICA</t>
    </r>
  </si>
  <si>
    <r>
      <t>130 à 160%</t>
    </r>
    <r>
      <rPr>
        <sz val="8"/>
        <rFont val="Arial"/>
        <family val="2"/>
      </rPr>
      <t xml:space="preserve"> réf. RICA</t>
    </r>
  </si>
  <si>
    <r>
      <t xml:space="preserve">160 à 190% </t>
    </r>
    <r>
      <rPr>
        <sz val="8"/>
        <rFont val="Arial"/>
        <family val="2"/>
      </rPr>
      <t>réf. RICA</t>
    </r>
  </si>
  <si>
    <r>
      <t xml:space="preserve"> &gt; 190% </t>
    </r>
    <r>
      <rPr>
        <sz val="8"/>
        <rFont val="Arial"/>
        <family val="2"/>
      </rPr>
      <t>réf. RICA</t>
    </r>
  </si>
  <si>
    <r>
      <t xml:space="preserve">Résultat Social / ha
/ référence RICA
</t>
    </r>
    <r>
      <rPr>
        <i/>
        <sz val="8"/>
        <rFont val="Arial"/>
        <family val="2"/>
      </rPr>
      <t>cf. annexe du guide</t>
    </r>
  </si>
  <si>
    <r>
      <t xml:space="preserve">Surface totale mobilisée / SAU
</t>
    </r>
    <r>
      <rPr>
        <i/>
        <sz val="8"/>
        <rFont val="Arial"/>
        <family val="2"/>
      </rPr>
      <t>cf. calculateur</t>
    </r>
  </si>
  <si>
    <t>&gt; 140%</t>
  </si>
  <si>
    <t>130 à 140%</t>
  </si>
  <si>
    <t>120 à 130%</t>
  </si>
  <si>
    <t>110 à 120%</t>
  </si>
  <si>
    <t>100 à 110%</t>
  </si>
  <si>
    <t xml:space="preserve"> CRITERES</t>
  </si>
  <si>
    <t>&lt; 20 m</t>
  </si>
  <si>
    <t>20 à 40 m</t>
  </si>
  <si>
    <t>40 à 60 m</t>
  </si>
  <si>
    <t>60 à 80 m</t>
  </si>
  <si>
    <t>80 à 100 m</t>
  </si>
  <si>
    <t>&gt; 100 m</t>
  </si>
  <si>
    <t xml:space="preserve">linéaire haies mètres / ha </t>
  </si>
  <si>
    <r>
      <t xml:space="preserve">&gt; à 600 </t>
    </r>
    <r>
      <rPr>
        <sz val="8"/>
        <rFont val="Arial"/>
        <family val="2"/>
      </rPr>
      <t>EQF</t>
    </r>
  </si>
  <si>
    <r>
      <t xml:space="preserve">500 à 600 </t>
    </r>
    <r>
      <rPr>
        <sz val="8"/>
        <rFont val="Arial"/>
        <family val="2"/>
      </rPr>
      <t>EQF</t>
    </r>
  </si>
  <si>
    <r>
      <t xml:space="preserve">400 à 500 </t>
    </r>
    <r>
      <rPr>
        <sz val="8"/>
        <rFont val="Arial"/>
        <family val="2"/>
      </rPr>
      <t>EQF</t>
    </r>
  </si>
  <si>
    <r>
      <t xml:space="preserve">300 à 400 </t>
    </r>
    <r>
      <rPr>
        <sz val="8"/>
        <rFont val="Arial"/>
        <family val="2"/>
      </rPr>
      <t>EQF</t>
    </r>
  </si>
  <si>
    <r>
      <t xml:space="preserve">200 à 300 </t>
    </r>
    <r>
      <rPr>
        <sz val="8"/>
        <rFont val="Arial"/>
        <family val="2"/>
      </rPr>
      <t>EQF</t>
    </r>
  </si>
  <si>
    <r>
      <t xml:space="preserve">&lt; à 200 </t>
    </r>
    <r>
      <rPr>
        <sz val="8"/>
        <rFont val="Arial"/>
        <family val="2"/>
      </rPr>
      <t>EQF</t>
    </r>
  </si>
  <si>
    <r>
      <t>Total TeqCO2
/ ha SAU
c</t>
    </r>
    <r>
      <rPr>
        <i/>
        <sz val="8"/>
        <rFont val="Arial"/>
        <family val="2"/>
      </rPr>
      <t>f. calculateur</t>
    </r>
  </si>
  <si>
    <r>
      <t>Total EQF
/ ha SAU
c</t>
    </r>
    <r>
      <rPr>
        <i/>
        <sz val="8"/>
        <rFont val="Arial"/>
        <family val="2"/>
      </rPr>
      <t>f. calculateur &amp; annexe du guide</t>
    </r>
  </si>
  <si>
    <t>Fioul cuve et/ou CUMA, ETA (L)</t>
  </si>
  <si>
    <t>Electricité (kWh)</t>
  </si>
  <si>
    <t>Gaz (kg)</t>
  </si>
  <si>
    <t>Engrais azoté (kg N)</t>
  </si>
  <si>
    <t>Céréales achetées (kg)</t>
  </si>
  <si>
    <t>Tourteau de soja (kg)</t>
  </si>
  <si>
    <t>Tourteau de colza (kg)</t>
  </si>
  <si>
    <t>Tourteau de tournesol (kg)</t>
  </si>
  <si>
    <t>Luzerne deshydratée (kg)</t>
  </si>
  <si>
    <t>Concentrés composés - farine (kg)</t>
  </si>
  <si>
    <t>Concentrés composés - granulés (kg)</t>
  </si>
  <si>
    <t>Poudre de lait (kg)</t>
  </si>
  <si>
    <t>Bâches ou enrubannage (kg)</t>
  </si>
  <si>
    <t xml:space="preserve">Outil de calcul du Bilan apparent </t>
  </si>
  <si>
    <t>Sources : FAO, Agreste, RAD</t>
  </si>
  <si>
    <t>PT Gram+Leg</t>
  </si>
  <si>
    <t>Surface PT Gram+Leg</t>
  </si>
  <si>
    <t>Revenu Disponible / actif familial / heure de travail en % du SMIC horaire net</t>
  </si>
  <si>
    <t>Rémunération dégagée par hectare</t>
  </si>
  <si>
    <t>&gt; 100 uN/ha</t>
  </si>
  <si>
    <t>80 à 100 uN/ha</t>
  </si>
  <si>
    <t>60 à 80 uN/ha</t>
  </si>
  <si>
    <t>40 à 60 uN/ha</t>
  </si>
  <si>
    <t>20 à 40 uN/ha</t>
  </si>
  <si>
    <t>&lt; 20 uN/ha</t>
  </si>
  <si>
    <r>
      <t xml:space="preserve">Unités d'N
/ ha de SAU
</t>
    </r>
    <r>
      <rPr>
        <i/>
        <sz val="8"/>
        <rFont val="Arial"/>
        <family val="2"/>
      </rPr>
      <t>cf. calculateur</t>
    </r>
  </si>
  <si>
    <t>Solde du bilan / ha</t>
  </si>
  <si>
    <t>dont N atm / ha fixé par les légumineuses</t>
  </si>
  <si>
    <r>
      <t xml:space="preserve">ATTENTION : Dans la valeur à indiquer au critère n°1 environnemental, il faut </t>
    </r>
    <r>
      <rPr>
        <b/>
        <u/>
        <sz val="11"/>
        <color indexed="10"/>
        <rFont val="Arial"/>
        <family val="2"/>
      </rPr>
      <t>rajouter 10 unités N / ha</t>
    </r>
    <r>
      <rPr>
        <b/>
        <sz val="10"/>
        <color indexed="10"/>
        <rFont val="Arial"/>
        <family val="2"/>
      </rPr>
      <t xml:space="preserve"> correspondant aux dépôts atmosphériques</t>
    </r>
  </si>
  <si>
    <r>
      <t xml:space="preserve">Poids unitaire </t>
    </r>
    <r>
      <rPr>
        <i/>
        <sz val="8"/>
        <color indexed="8"/>
        <rFont val="Arial"/>
        <family val="2"/>
      </rPr>
      <t>(références utilisées si la colonne C n'est pas remplie)</t>
    </r>
  </si>
  <si>
    <t>Coefficient de conversion carcasse/
poids vif</t>
  </si>
  <si>
    <t>E3.1 - Légumineuses de prairie</t>
  </si>
  <si>
    <t>% Legumineuse</t>
  </si>
  <si>
    <t>Rendement</t>
  </si>
  <si>
    <t>Total Légumineuses pures</t>
  </si>
  <si>
    <t>Total Légumineuses</t>
  </si>
  <si>
    <r>
      <t xml:space="preserve">RQ : pour les </t>
    </r>
    <r>
      <rPr>
        <b/>
        <sz val="10"/>
        <rFont val="Arial"/>
        <family val="2"/>
      </rPr>
      <t>mélanges céréales protéagineux</t>
    </r>
    <r>
      <rPr>
        <sz val="10"/>
        <rFont val="Arial"/>
        <family val="2"/>
      </rPr>
      <t>, indiquer la surface totale du mélange et estimer la proportion de la culture protéagineuse dans la récolte pour remplir la case rendement/ha</t>
    </r>
  </si>
  <si>
    <t>Tonnes d'ammonitrate 33,5%</t>
  </si>
  <si>
    <t>RQ: les quantités d'N atmosphérique fixées par les légumineuses correspondent à :</t>
  </si>
  <si>
    <t>qx/ha</t>
  </si>
  <si>
    <t xml:space="preserve">kg N/qx </t>
  </si>
  <si>
    <t>N fixé/qx</t>
  </si>
  <si>
    <t>Mélange céréales légumineuses (70/30)</t>
  </si>
  <si>
    <t>Concentré de production BL/BV</t>
  </si>
  <si>
    <t>Aliment pondeuse</t>
  </si>
  <si>
    <t>Aliment Volailles de chair</t>
  </si>
  <si>
    <t>Aliment porc truies et post sevrage</t>
  </si>
  <si>
    <t>Aliment porc engraissement</t>
  </si>
  <si>
    <t>Aliment lapin</t>
  </si>
  <si>
    <t>Autres intrants de l'exploitation</t>
  </si>
  <si>
    <t>Rendement (T/Ha)</t>
  </si>
  <si>
    <t>Stockage de carbone</t>
  </si>
  <si>
    <t>Surface (ha)</t>
  </si>
  <si>
    <t>Tonnes de C/ha capté ou émis</t>
  </si>
  <si>
    <t>prairies de plus de 30 ans</t>
  </si>
  <si>
    <t>prairies de moins de 30 ans 
Hors prairie semée dans l'année</t>
  </si>
  <si>
    <t>prairie semée dans l'année</t>
  </si>
  <si>
    <t>prairie de +5 ans cassée dans l'année</t>
  </si>
  <si>
    <t>culture intermédiaires (Ha)</t>
  </si>
  <si>
    <t>agroforesterie (Ha)</t>
  </si>
  <si>
    <t>haies mixtes (Ha)</t>
  </si>
  <si>
    <t>vergers &gt;1250 pieds/ha (Ha)</t>
  </si>
  <si>
    <t>vigne &gt;5000 cep/ha (en Ha)</t>
  </si>
  <si>
    <t>TOTAL GES EMIS/STOCKE SUR LA FERME sur l’année</t>
  </si>
  <si>
    <t>TOTAL tonne éq. CO2 émis</t>
  </si>
  <si>
    <t>TOTAL tonne éq. CO2 capté</t>
  </si>
  <si>
    <t>Bilan net à la surface 
(TeqCO2/Ha SAU)</t>
  </si>
  <si>
    <t>Rdt moyen en T MS/ha</t>
  </si>
  <si>
    <t>DD VS2018</t>
  </si>
  <si>
    <t>DURABILITÉ SOCIALE</t>
  </si>
  <si>
    <t xml:space="preserve">          DURABILITÉ ÉCONOMIQUE</t>
  </si>
  <si>
    <t>DURABILITÉ ENVIRONNEMENTALE</t>
  </si>
  <si>
    <t>&gt; 36 000 €</t>
  </si>
  <si>
    <t>Qtité d'aliments 
(T MS) achetés consommés</t>
  </si>
  <si>
    <t>Calculateur simplifié pour la consommation d'énergie 
et les émissions et stockage de GES</t>
  </si>
  <si>
    <t>Diagnostic de Durabilité 
Réseau CIVAM</t>
  </si>
  <si>
    <t>Date du diagnostic</t>
  </si>
  <si>
    <t>Nom</t>
  </si>
  <si>
    <t>Prénom</t>
  </si>
  <si>
    <t>CP et Commune</t>
  </si>
  <si>
    <t>Période Comptable</t>
  </si>
  <si>
    <t>Tél</t>
  </si>
  <si>
    <t>GRILLE RESEAU CIVAM Diagnostic de Durabilité</t>
  </si>
  <si>
    <t>Calcul de l’Indice de Fréquence de Traitement (IFT)</t>
  </si>
  <si>
    <t>L’IFT permet d’évaluer la « pression phytosanitaire» exercée sur chaque parcelle. Il est exprimé en « nombre de doses homologuées par hectare » appliquées sur la parcelle pendant une campagne culturale.</t>
  </si>
  <si>
    <t>Si l'IFT a déjà été calculé pour l'année étudiée, 
rentrer les données ici, sinon laisser les cellules vides</t>
  </si>
  <si>
    <t>IFT Herbicide</t>
  </si>
  <si>
    <t>IFT Hors Herbicides</t>
  </si>
  <si>
    <t>dont traitement de semences pour comparer à l'IFT2011</t>
  </si>
  <si>
    <t>IFT Herbicides</t>
  </si>
  <si>
    <t>Somme herbicide</t>
  </si>
  <si>
    <t>IFT Hors Herbicide</t>
  </si>
  <si>
    <t>Somme Hors Herbicides</t>
  </si>
  <si>
    <t>Traitement de semences non compris</t>
  </si>
  <si>
    <t>Pour info</t>
  </si>
  <si>
    <t>culture</t>
  </si>
  <si>
    <t>produit</t>
  </si>
  <si>
    <t>SAU (ha) traitée</t>
  </si>
  <si>
    <t>dose d'apport (l/ha ou g/ha)</t>
  </si>
  <si>
    <t>dose homologué
(l/ha ou g/ha)</t>
  </si>
  <si>
    <r>
      <t xml:space="preserve">Type
</t>
    </r>
    <r>
      <rPr>
        <sz val="10"/>
        <color rgb="FF000000"/>
        <rFont val="Arial"/>
        <family val="2"/>
      </rPr>
      <t>(</t>
    </r>
    <r>
      <rPr>
        <b/>
        <sz val="10"/>
        <color rgb="FF000000"/>
        <rFont val="Arial"/>
        <family val="2"/>
      </rPr>
      <t>H</t>
    </r>
    <r>
      <rPr>
        <sz val="10"/>
        <color rgb="FF000000"/>
        <rFont val="Arial"/>
        <family val="2"/>
      </rPr>
      <t xml:space="preserve">erbicide ou
</t>
    </r>
    <r>
      <rPr>
        <b/>
        <sz val="10"/>
        <color rgb="FF000000"/>
        <rFont val="Arial"/>
        <family val="2"/>
      </rPr>
      <t>H</t>
    </r>
    <r>
      <rPr>
        <sz val="10"/>
        <color rgb="FF000000"/>
        <rFont val="Arial"/>
        <family val="2"/>
      </rPr>
      <t>ors</t>
    </r>
    <r>
      <rPr>
        <b/>
        <sz val="10"/>
        <color rgb="FF000000"/>
        <rFont val="Arial"/>
        <family val="2"/>
      </rPr>
      <t>H</t>
    </r>
    <r>
      <rPr>
        <sz val="10"/>
        <color rgb="FF000000"/>
        <rFont val="Arial"/>
        <family val="2"/>
      </rPr>
      <t>erbicides)</t>
    </r>
  </si>
  <si>
    <t>IFT traitement</t>
  </si>
  <si>
    <t>IFT Semences</t>
  </si>
  <si>
    <t>Traitement de semences (non pris en compte dans la comparaison à l'IFT2011)</t>
  </si>
  <si>
    <t>Semences</t>
  </si>
  <si>
    <t>Hors Herbicide</t>
  </si>
  <si>
    <t>Herbicide</t>
  </si>
  <si>
    <t>METHODOLOGIE DE CALCUL de L’IFT</t>
  </si>
  <si>
    <t>Nous proposons ici un tableau qui calcul l’IFTexploitation herbicide et hors herbicide et qui le compare à un IFT de référence calculé en région. En 2017, la référence disponible issue du travail des groupes Ecophyto date de 2011, date à laquelle le calcul de l’IFT n’incluait pas le traitement de semences. Celui ci est inclus dans l’IFT calculé mais n’est pas comptabilisé dans l’indicateur IFTexploitation/IFT référence.</t>
  </si>
  <si>
    <t>IFTExploitation % réf = (IFTExploitation * 100) / IFTréférence</t>
  </si>
  <si>
    <r>
      <t>Les doses homologuées sont consultable sur les bidons ou sur</t>
    </r>
    <r>
      <rPr>
        <sz val="8"/>
        <color rgb="FF0000FF"/>
        <rFont val="Arial"/>
        <family val="2"/>
      </rPr>
      <t>https://ephy.anses.fr/recherche_avancee/ppp</t>
    </r>
  </si>
  <si>
    <t>La comparaison à une référence régionale permet de prendre en compte les spécificités de la région dans laquelle se situe l’exploitation. S’il y a présence de prairies dans l’assolement, la comparaison se fait à la référence Polyculture Elevage (PE).</t>
  </si>
  <si>
    <r>
      <t>Pour plus de détails, vous pouvez utiliser la calculette IFT du Ministère de l’Agriculture:</t>
    </r>
    <r>
      <rPr>
        <b/>
        <sz val="8"/>
        <color rgb="FF0000FF"/>
        <rFont val="Arial"/>
        <family val="2"/>
      </rPr>
      <t>http://www.calculette-ift.fr/</t>
    </r>
  </si>
  <si>
    <t xml:space="preserve"> Référence régionale (hors semences)</t>
  </si>
  <si>
    <t>Ha de Surface Assolée</t>
  </si>
  <si>
    <t>dont semences</t>
  </si>
  <si>
    <t xml:space="preserve">IFTExploitation = Somme [(Dose appliquée / dose homologuée) X nb ha en culture donnée hors Prairie Naturelle (PN)] / Surface Assolée. </t>
  </si>
  <si>
    <r>
      <t xml:space="preserve">&gt; 5,5 </t>
    </r>
    <r>
      <rPr>
        <sz val="8"/>
        <rFont val="Arial"/>
        <family val="2"/>
      </rPr>
      <t>TeqCO2/ha</t>
    </r>
  </si>
  <si>
    <r>
      <t xml:space="preserve">4,5 à 5,5 </t>
    </r>
    <r>
      <rPr>
        <sz val="8"/>
        <rFont val="Arial"/>
        <family val="2"/>
      </rPr>
      <t>TeqCO2/ha</t>
    </r>
  </si>
  <si>
    <r>
      <t xml:space="preserve">3,5 à 4,5 </t>
    </r>
    <r>
      <rPr>
        <sz val="8"/>
        <rFont val="Arial"/>
        <family val="2"/>
      </rPr>
      <t>TeqCO2/ha</t>
    </r>
  </si>
  <si>
    <r>
      <t xml:space="preserve">2,5 à 3,5 </t>
    </r>
    <r>
      <rPr>
        <sz val="8"/>
        <rFont val="Arial"/>
        <family val="2"/>
      </rPr>
      <t>TeqCO2/ha</t>
    </r>
  </si>
  <si>
    <r>
      <t xml:space="preserve">1,5 à 2,5 </t>
    </r>
    <r>
      <rPr>
        <sz val="8"/>
        <rFont val="Arial"/>
        <family val="2"/>
      </rPr>
      <t>TeqCO2/ha</t>
    </r>
  </si>
  <si>
    <r>
      <t xml:space="preserve">&lt; 1,5 </t>
    </r>
    <r>
      <rPr>
        <sz val="8"/>
        <rFont val="Arial"/>
        <family val="2"/>
      </rPr>
      <t>TeqCO2/ha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</si>
</sst>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0.0"/>
    <numFmt numFmtId="165" formatCode="#,##0&quot; F&quot;;[Red]\-#,##0&quot; F&quot;"/>
    <numFmt numFmtId="166" formatCode="0.000"/>
    <numFmt numFmtId="167" formatCode="_-* #,##0.00\ [$€-1]_-;\-* #,##0.00\ [$€-1]_-;_-* &quot;-&quot;??\ [$€-1]_-"/>
    <numFmt numFmtId="168" formatCode="#,##0\ _€"/>
    <numFmt numFmtId="169" formatCode="#,##0.0"/>
    <numFmt numFmtId="170" formatCode="[$-40C]d\ mmmm\ yyyy;@"/>
    <numFmt numFmtId="171" formatCode="#,##0.00\ [$€-40C];[Red]\-#,##0.00\ [$€-40C]"/>
    <numFmt numFmtId="172" formatCode="_-* #,##0.00\ [$€]_-;\-* #,##0.00\ [$€]_-;_-* &quot;-&quot;??\ [$€]_-;_-@_-"/>
    <numFmt numFmtId="173" formatCode="_-* #,##0.00\ _F_-;\-* #,##0.00\ _F_-;_-* &quot;-&quot;??\ _F_-;_-@_-"/>
    <numFmt numFmtId="174" formatCode="_-* #,##0.00\ &quot;F&quot;_-;\-* #,##0.00\ &quot;F&quot;_-;_-* &quot;-&quot;??\ &quot;F&quot;_-;_-@_-"/>
  </numFmts>
  <fonts count="82" x14ac:knownFonts="1">
    <font>
      <sz val="10"/>
      <name val="Arial"/>
      <family val="2"/>
    </font>
    <font>
      <sz val="10"/>
      <name val="Arial"/>
      <family val="2"/>
    </font>
    <font>
      <sz val="14"/>
      <name val="Impact"/>
      <family val="2"/>
    </font>
    <font>
      <sz val="18"/>
      <name val="Comic Sans MS"/>
      <family val="4"/>
    </font>
    <font>
      <b/>
      <sz val="15"/>
      <name val="Impact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name val="Comic Sans MS"/>
      <family val="4"/>
    </font>
    <font>
      <sz val="10"/>
      <color indexed="9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sz val="12"/>
      <name val="Arial"/>
      <family val="2"/>
    </font>
    <font>
      <b/>
      <sz val="18"/>
      <name val="Impact"/>
      <family val="2"/>
    </font>
    <font>
      <b/>
      <u/>
      <sz val="20"/>
      <name val="Terminal"/>
      <family val="3"/>
      <charset val="255"/>
    </font>
    <font>
      <b/>
      <sz val="20"/>
      <name val="Terminal"/>
      <family val="3"/>
      <charset val="255"/>
    </font>
    <font>
      <i/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6"/>
      <color indexed="19"/>
      <name val="Arial"/>
      <family val="2"/>
    </font>
    <font>
      <b/>
      <sz val="12"/>
      <color indexed="60"/>
      <name val="Arial"/>
      <family val="2"/>
    </font>
    <font>
      <b/>
      <sz val="16"/>
      <color indexed="17"/>
      <name val="Arial"/>
      <family val="2"/>
    </font>
    <font>
      <b/>
      <sz val="12"/>
      <color indexed="19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i/>
      <sz val="10"/>
      <color indexed="60"/>
      <name val="Arial"/>
      <family val="2"/>
    </font>
    <font>
      <b/>
      <i/>
      <sz val="9"/>
      <color indexed="20"/>
      <name val="Arial"/>
      <family val="2"/>
    </font>
    <font>
      <b/>
      <i/>
      <vertAlign val="superscript"/>
      <sz val="9"/>
      <color indexed="20"/>
      <name val="Arial"/>
      <family val="2"/>
      <charset val="1"/>
    </font>
    <font>
      <b/>
      <i/>
      <sz val="9"/>
      <color indexed="20"/>
      <name val="Arial"/>
      <family val="2"/>
      <charset val="1"/>
    </font>
    <font>
      <b/>
      <sz val="11"/>
      <color indexed="10"/>
      <name val="Arial"/>
      <family val="2"/>
    </font>
    <font>
      <i/>
      <sz val="10"/>
      <color indexed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 Black"/>
      <family val="2"/>
    </font>
    <font>
      <b/>
      <sz val="12"/>
      <name val="MS Sans Serif"/>
      <family val="2"/>
    </font>
    <font>
      <b/>
      <sz val="20"/>
      <color indexed="19"/>
      <name val="Arial"/>
      <family val="2"/>
    </font>
    <font>
      <b/>
      <i/>
      <u/>
      <sz val="10"/>
      <name val="Arial"/>
      <family val="2"/>
    </font>
    <font>
      <b/>
      <sz val="9"/>
      <color indexed="81"/>
      <name val="Tahoma"/>
      <family val="2"/>
    </font>
    <font>
      <i/>
      <sz val="11"/>
      <name val="Arial"/>
      <family val="2"/>
    </font>
    <font>
      <b/>
      <u/>
      <sz val="11"/>
      <color indexed="10"/>
      <name val="Arial"/>
      <family val="2"/>
    </font>
    <font>
      <i/>
      <sz val="8"/>
      <color indexed="8"/>
      <name val="Arial"/>
      <family val="2"/>
    </font>
    <font>
      <b/>
      <i/>
      <sz val="11"/>
      <name val="Arial"/>
      <family val="2"/>
    </font>
    <font>
      <b/>
      <sz val="11"/>
      <color rgb="FF0033CC"/>
      <name val="Arial"/>
      <family val="2"/>
    </font>
    <font>
      <b/>
      <sz val="10"/>
      <color rgb="FF008000"/>
      <name val="Arial"/>
      <family val="2"/>
    </font>
    <font>
      <b/>
      <sz val="10"/>
      <color rgb="FF0033CC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sz val="10"/>
      <color indexed="81"/>
      <name val="Arial"/>
      <family val="2"/>
    </font>
    <font>
      <sz val="11"/>
      <name val="Arial"/>
      <family val="2"/>
    </font>
    <font>
      <b/>
      <sz val="14"/>
      <color rgb="FFFFFFFF"/>
      <name val="Arial"/>
      <family val="2"/>
    </font>
    <font>
      <sz val="10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0" tint="-0.34998626667073579"/>
      <name val="Calibri"/>
      <family val="2"/>
    </font>
    <font>
      <b/>
      <sz val="12"/>
      <color rgb="FF336666"/>
      <name val="Calibri"/>
      <family val="2"/>
    </font>
    <font>
      <b/>
      <i/>
      <u/>
      <sz val="10"/>
      <color theme="0" tint="-0.34998626667073579"/>
      <name val="Arial"/>
      <family val="2"/>
    </font>
    <font>
      <b/>
      <sz val="10"/>
      <color rgb="FFFF3333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sz val="10"/>
      <color theme="0" tint="-0.34998626667073579"/>
      <name val="Verdana"/>
      <family val="2"/>
    </font>
    <font>
      <b/>
      <i/>
      <sz val="11"/>
      <color theme="3"/>
      <name val="Calibri"/>
      <family val="2"/>
    </font>
    <font>
      <u/>
      <sz val="10"/>
      <color theme="10"/>
      <name val="Arial"/>
      <family val="2"/>
    </font>
    <font>
      <b/>
      <i/>
      <sz val="12"/>
      <color theme="7" tint="-0.24994659260841701"/>
      <name val="Calibri"/>
      <family val="2"/>
    </font>
    <font>
      <b/>
      <sz val="12"/>
      <color theme="4" tint="-0.499984740745262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51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41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50"/>
      </patternFill>
    </fill>
    <fill>
      <patternFill patternType="solid">
        <fgColor indexed="9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59999389629810485"/>
        <bgColor indexed="42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59999389629810485"/>
        <bgColor indexed="42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39997558519241921"/>
        <bgColor indexed="31"/>
      </patternFill>
    </fill>
    <fill>
      <patternFill patternType="solid">
        <fgColor rgb="FFFFFF99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CCFFCC"/>
        <bgColor rgb="FFCCFF99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66"/>
      </patternFill>
    </fill>
    <fill>
      <patternFill patternType="solid">
        <fgColor rgb="FFC0C0C0"/>
        <bgColor rgb="FFBFBFBF"/>
      </patternFill>
    </fill>
    <fill>
      <patternFill patternType="solid">
        <fgColor rgb="FF00B050"/>
        <bgColor rgb="FF99FF66"/>
      </patternFill>
    </fill>
    <fill>
      <patternFill patternType="solid">
        <fgColor rgb="FF00FF00"/>
        <bgColor indexed="49"/>
      </patternFill>
    </fill>
    <fill>
      <patternFill patternType="solid">
        <fgColor rgb="FF00FF00"/>
        <bgColor rgb="FF99FF66"/>
      </patternFill>
    </fill>
    <fill>
      <patternFill patternType="solid">
        <fgColor rgb="FF339966"/>
        <bgColor rgb="FF3FBE3F"/>
      </patternFill>
    </fill>
    <fill>
      <patternFill patternType="solid">
        <fgColor rgb="FFFFCC00"/>
        <bgColor rgb="FFFFC000"/>
      </patternFill>
    </fill>
    <fill>
      <patternFill patternType="solid">
        <fgColor rgb="FFDDDDDD"/>
        <bgColor rgb="FFD9D9D9"/>
      </patternFill>
    </fill>
    <fill>
      <patternFill patternType="solid">
        <fgColor rgb="FF92D050"/>
        <bgColor rgb="FFA6EA4E"/>
      </patternFill>
    </fill>
    <fill>
      <patternFill patternType="solid">
        <fgColor rgb="FFFFC000"/>
        <bgColor rgb="FFFFCC00"/>
      </patternFill>
    </fill>
    <fill>
      <patternFill patternType="solid">
        <fgColor rgb="FFBFBFBF"/>
        <bgColor rgb="FFC0C0C0"/>
      </patternFill>
    </fill>
    <fill>
      <patternFill patternType="solid">
        <fgColor rgb="FFD9D9D9"/>
        <bgColor rgb="FFDDDDDD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/>
      <right/>
      <top style="double">
        <color theme="7" tint="-0.499984740745262"/>
      </top>
      <bottom style="double">
        <color theme="7" tint="-0.499984740745262"/>
      </bottom>
      <diagonal/>
    </border>
  </borders>
  <cellStyleXfs count="27">
    <xf numFmtId="0" fontId="0" fillId="0" borderId="0"/>
    <xf numFmtId="167" fontId="24" fillId="0" borderId="0" applyFont="0" applyFill="0" applyBorder="0" applyAlignment="0" applyProtection="0"/>
    <xf numFmtId="0" fontId="24" fillId="0" borderId="0"/>
    <xf numFmtId="9" fontId="1" fillId="0" borderId="0" applyFill="0" applyBorder="0" applyAlignment="0" applyProtection="0"/>
    <xf numFmtId="0" fontId="61" fillId="0" borderId="0" applyNumberFormat="0" applyFill="0" applyBorder="0" applyAlignment="0" applyProtection="0"/>
    <xf numFmtId="0" fontId="72" fillId="0" borderId="124" applyProtection="0">
      <alignment horizontal="right"/>
    </xf>
    <xf numFmtId="0" fontId="78" fillId="0" borderId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80" fillId="41" borderId="125"/>
    <xf numFmtId="0" fontId="81" fillId="0" borderId="118" applyNumberFormat="0" applyFill="0" applyProtection="0">
      <alignment horizontal="right"/>
    </xf>
  </cellStyleXfs>
  <cellXfs count="604">
    <xf numFmtId="0" fontId="0" fillId="0" borderId="0" xfId="0"/>
    <xf numFmtId="0" fontId="0" fillId="0" borderId="0" xfId="0" applyBorder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13" fillId="0" borderId="11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65" fontId="13" fillId="0" borderId="13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0" fontId="19" fillId="0" borderId="0" xfId="0" applyFont="1" applyBorder="1"/>
    <xf numFmtId="0" fontId="12" fillId="0" borderId="0" xfId="0" applyFont="1" applyBorder="1" applyAlignment="1">
      <alignment horizontal="center"/>
    </xf>
    <xf numFmtId="2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2" fillId="0" borderId="0" xfId="0" applyFont="1" applyBorder="1"/>
    <xf numFmtId="0" fontId="23" fillId="0" borderId="0" xfId="0" applyFont="1"/>
    <xf numFmtId="0" fontId="13" fillId="0" borderId="1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65" fontId="13" fillId="0" borderId="11" xfId="0" applyNumberFormat="1" applyFont="1" applyBorder="1" applyAlignment="1">
      <alignment horizontal="center"/>
    </xf>
    <xf numFmtId="165" fontId="13" fillId="0" borderId="19" xfId="0" applyNumberFormat="1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2" fillId="0" borderId="0" xfId="0" applyFont="1" applyBorder="1" applyAlignment="1"/>
    <xf numFmtId="49" fontId="2" fillId="0" borderId="0" xfId="0" applyNumberFormat="1" applyFont="1" applyBorder="1" applyAlignment="1" applyProtection="1">
      <protection locked="0"/>
    </xf>
    <xf numFmtId="0" fontId="26" fillId="0" borderId="0" xfId="2" applyFont="1" applyFill="1" applyAlignment="1" applyProtection="1">
      <alignment horizontal="left"/>
    </xf>
    <xf numFmtId="0" fontId="14" fillId="0" borderId="28" xfId="2" applyFont="1" applyBorder="1" applyAlignment="1" applyProtection="1">
      <alignment horizontal="center" vertical="center" wrapText="1"/>
    </xf>
    <xf numFmtId="0" fontId="14" fillId="0" borderId="29" xfId="2" applyFont="1" applyBorder="1" applyAlignment="1" applyProtection="1">
      <alignment horizontal="center" vertical="center" wrapText="1"/>
    </xf>
    <xf numFmtId="0" fontId="24" fillId="0" borderId="30" xfId="2" applyFont="1" applyFill="1" applyBorder="1" applyAlignment="1" applyProtection="1">
      <alignment horizontal="left"/>
    </xf>
    <xf numFmtId="0" fontId="24" fillId="0" borderId="30" xfId="2" applyFont="1" applyFill="1" applyBorder="1" applyAlignment="1" applyProtection="1">
      <alignment horizontal="left" vertical="center"/>
    </xf>
    <xf numFmtId="0" fontId="24" fillId="0" borderId="30" xfId="2" applyFill="1" applyBorder="1" applyAlignment="1" applyProtection="1">
      <alignment horizontal="left"/>
      <protection locked="0"/>
    </xf>
    <xf numFmtId="0" fontId="0" fillId="0" borderId="0" xfId="0" applyFill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4" fillId="15" borderId="19" xfId="0" applyFont="1" applyFill="1" applyBorder="1" applyAlignment="1" applyProtection="1">
      <alignment horizontal="center" vertical="center"/>
      <protection locked="0"/>
    </xf>
    <xf numFmtId="0" fontId="24" fillId="15" borderId="19" xfId="0" applyFont="1" applyFill="1" applyBorder="1" applyAlignment="1" applyProtection="1">
      <alignment horizontal="center" vertical="center" wrapText="1"/>
      <protection locked="0"/>
    </xf>
    <xf numFmtId="1" fontId="24" fillId="15" borderId="31" xfId="0" applyNumberFormat="1" applyFont="1" applyFill="1" applyBorder="1" applyAlignment="1" applyProtection="1">
      <alignment horizontal="center" vertical="center" wrapText="1"/>
      <protection locked="0"/>
    </xf>
    <xf numFmtId="1" fontId="24" fillId="15" borderId="19" xfId="0" applyNumberFormat="1" applyFont="1" applyFill="1" applyBorder="1" applyAlignment="1" applyProtection="1">
      <alignment horizontal="center" vertical="center"/>
      <protection locked="0"/>
    </xf>
    <xf numFmtId="164" fontId="24" fillId="15" borderId="19" xfId="0" applyNumberFormat="1" applyFont="1" applyFill="1" applyBorder="1" applyAlignment="1" applyProtection="1">
      <alignment horizontal="center" vertical="center"/>
      <protection locked="0"/>
    </xf>
    <xf numFmtId="164" fontId="6" fillId="15" borderId="19" xfId="0" applyNumberFormat="1" applyFont="1" applyFill="1" applyBorder="1" applyAlignment="1" applyProtection="1">
      <alignment horizontal="center" vertical="center"/>
      <protection locked="0"/>
    </xf>
    <xf numFmtId="164" fontId="24" fillId="3" borderId="32" xfId="0" applyNumberFormat="1" applyFont="1" applyFill="1" applyBorder="1" applyAlignment="1">
      <alignment horizontal="right" vertical="center"/>
    </xf>
    <xf numFmtId="0" fontId="6" fillId="16" borderId="33" xfId="2" applyFont="1" applyFill="1" applyBorder="1" applyAlignment="1" applyProtection="1">
      <alignment horizontal="left"/>
    </xf>
    <xf numFmtId="0" fontId="6" fillId="16" borderId="34" xfId="2" applyFont="1" applyFill="1" applyBorder="1" applyAlignment="1" applyProtection="1">
      <alignment horizontal="left"/>
    </xf>
    <xf numFmtId="164" fontId="6" fillId="16" borderId="34" xfId="2" applyNumberFormat="1" applyFont="1" applyFill="1" applyBorder="1" applyAlignment="1" applyProtection="1">
      <alignment horizontal="left"/>
    </xf>
    <xf numFmtId="0" fontId="6" fillId="16" borderId="35" xfId="2" applyFont="1" applyFill="1" applyBorder="1" applyAlignment="1" applyProtection="1">
      <alignment horizontal="left"/>
    </xf>
    <xf numFmtId="0" fontId="6" fillId="16" borderId="36" xfId="2" applyFont="1" applyFill="1" applyBorder="1" applyAlignment="1" applyProtection="1">
      <alignment horizontal="left"/>
    </xf>
    <xf numFmtId="0" fontId="6" fillId="16" borderId="35" xfId="2" applyFont="1" applyFill="1" applyBorder="1" applyAlignment="1" applyProtection="1">
      <alignment vertical="center"/>
    </xf>
    <xf numFmtId="0" fontId="6" fillId="16" borderId="36" xfId="2" applyFont="1" applyFill="1" applyBorder="1" applyAlignment="1" applyProtection="1">
      <alignment vertical="center"/>
    </xf>
    <xf numFmtId="0" fontId="24" fillId="16" borderId="36" xfId="2" applyFill="1" applyBorder="1" applyAlignment="1" applyProtection="1">
      <alignment vertical="center"/>
    </xf>
    <xf numFmtId="164" fontId="6" fillId="16" borderId="37" xfId="2" applyNumberFormat="1" applyFont="1" applyFill="1" applyBorder="1" applyAlignment="1" applyProtection="1">
      <alignment horizontal="center"/>
    </xf>
    <xf numFmtId="9" fontId="9" fillId="15" borderId="38" xfId="0" applyNumberFormat="1" applyFont="1" applyFill="1" applyBorder="1" applyAlignment="1">
      <alignment horizontal="center" vertical="center"/>
    </xf>
    <xf numFmtId="9" fontId="9" fillId="15" borderId="39" xfId="0" applyNumberFormat="1" applyFont="1" applyFill="1" applyBorder="1" applyAlignment="1">
      <alignment horizontal="center" vertical="center"/>
    </xf>
    <xf numFmtId="9" fontId="9" fillId="15" borderId="4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9" fontId="0" fillId="0" borderId="13" xfId="0" applyNumberFormat="1" applyFont="1" applyBorder="1" applyAlignment="1">
      <alignment horizontal="center" vertical="center"/>
    </xf>
    <xf numFmtId="9" fontId="0" fillId="0" borderId="18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/>
    </xf>
    <xf numFmtId="0" fontId="7" fillId="2" borderId="48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13" fillId="0" borderId="48" xfId="0" applyNumberFormat="1" applyFont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1" fontId="24" fillId="3" borderId="32" xfId="0" applyNumberFormat="1" applyFont="1" applyFill="1" applyBorder="1" applyAlignment="1">
      <alignment horizontal="center" vertical="center"/>
    </xf>
    <xf numFmtId="0" fontId="0" fillId="17" borderId="41" xfId="0" applyFont="1" applyFill="1" applyBorder="1" applyAlignment="1">
      <alignment horizontal="center" vertical="center" wrapText="1"/>
    </xf>
    <xf numFmtId="0" fontId="0" fillId="18" borderId="41" xfId="0" applyFont="1" applyFill="1" applyBorder="1" applyAlignment="1">
      <alignment horizontal="center" vertical="center" wrapText="1"/>
    </xf>
    <xf numFmtId="0" fontId="0" fillId="19" borderId="41" xfId="0" applyFont="1" applyFill="1" applyBorder="1" applyAlignment="1">
      <alignment horizontal="center" vertical="center" wrapText="1"/>
    </xf>
    <xf numFmtId="0" fontId="33" fillId="4" borderId="53" xfId="0" applyFont="1" applyFill="1" applyBorder="1" applyAlignment="1">
      <alignment horizontal="center" vertical="center" wrapText="1"/>
    </xf>
    <xf numFmtId="0" fontId="33" fillId="4" borderId="54" xfId="0" applyFont="1" applyFill="1" applyBorder="1" applyAlignment="1">
      <alignment horizontal="center" vertical="center" wrapText="1"/>
    </xf>
    <xf numFmtId="0" fontId="0" fillId="17" borderId="25" xfId="0" applyFont="1" applyFill="1" applyBorder="1" applyAlignment="1">
      <alignment horizontal="center" vertical="center" wrapText="1"/>
    </xf>
    <xf numFmtId="0" fontId="0" fillId="17" borderId="22" xfId="0" applyFont="1" applyFill="1" applyBorder="1" applyAlignment="1">
      <alignment horizontal="center" vertical="center" wrapText="1"/>
    </xf>
    <xf numFmtId="0" fontId="0" fillId="18" borderId="22" xfId="0" applyFont="1" applyFill="1" applyBorder="1" applyAlignment="1">
      <alignment horizontal="center" vertical="center" wrapText="1"/>
    </xf>
    <xf numFmtId="0" fontId="0" fillId="19" borderId="22" xfId="0" applyFont="1" applyFill="1" applyBorder="1" applyAlignment="1">
      <alignment horizontal="center" vertical="center" wrapText="1"/>
    </xf>
    <xf numFmtId="0" fontId="0" fillId="19" borderId="25" xfId="0" applyFont="1" applyFill="1" applyBorder="1" applyAlignment="1">
      <alignment horizontal="center" vertical="center" wrapText="1"/>
    </xf>
    <xf numFmtId="0" fontId="33" fillId="4" borderId="5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7" borderId="22" xfId="0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horizontal="left" vertical="center" wrapText="1"/>
    </xf>
    <xf numFmtId="0" fontId="0" fillId="20" borderId="23" xfId="0" applyFont="1" applyFill="1" applyBorder="1" applyAlignment="1">
      <alignment horizontal="center" vertical="center" wrapText="1"/>
    </xf>
    <xf numFmtId="3" fontId="34" fillId="4" borderId="57" xfId="0" applyNumberFormat="1" applyFont="1" applyFill="1" applyBorder="1" applyAlignment="1">
      <alignment horizontal="center" vertical="center" wrapText="1"/>
    </xf>
    <xf numFmtId="0" fontId="34" fillId="4" borderId="58" xfId="0" applyFont="1" applyFill="1" applyBorder="1" applyAlignment="1">
      <alignment horizontal="center" vertical="center" wrapText="1"/>
    </xf>
    <xf numFmtId="0" fontId="33" fillId="11" borderId="59" xfId="0" applyFont="1" applyFill="1" applyBorder="1" applyAlignment="1">
      <alignment horizontal="center" vertical="center" wrapText="1"/>
    </xf>
    <xf numFmtId="3" fontId="33" fillId="11" borderId="60" xfId="0" applyNumberFormat="1" applyFont="1" applyFill="1" applyBorder="1" applyAlignment="1">
      <alignment horizontal="center" vertical="center" wrapText="1"/>
    </xf>
    <xf numFmtId="0" fontId="33" fillId="11" borderId="61" xfId="0" applyFont="1" applyFill="1" applyBorder="1" applyAlignment="1">
      <alignment horizontal="center" vertical="center" wrapText="1"/>
    </xf>
    <xf numFmtId="0" fontId="6" fillId="11" borderId="62" xfId="0" applyFont="1" applyFill="1" applyBorder="1" applyAlignment="1">
      <alignment horizontal="center" vertical="center" wrapText="1"/>
    </xf>
    <xf numFmtId="3" fontId="6" fillId="11" borderId="63" xfId="0" applyNumberFormat="1" applyFont="1" applyFill="1" applyBorder="1" applyAlignment="1">
      <alignment horizontal="center" vertical="center" wrapText="1"/>
    </xf>
    <xf numFmtId="0" fontId="33" fillId="11" borderId="64" xfId="0" applyFont="1" applyFill="1" applyBorder="1" applyAlignment="1">
      <alignment horizontal="center" vertical="center" wrapText="1"/>
    </xf>
    <xf numFmtId="0" fontId="33" fillId="11" borderId="65" xfId="0" applyFont="1" applyFill="1" applyBorder="1" applyAlignment="1">
      <alignment horizontal="center" vertical="center" wrapText="1"/>
    </xf>
    <xf numFmtId="0" fontId="6" fillId="12" borderId="66" xfId="0" applyFont="1" applyFill="1" applyBorder="1" applyAlignment="1">
      <alignment horizontal="left" vertical="center" wrapText="1"/>
    </xf>
    <xf numFmtId="0" fontId="6" fillId="21" borderId="66" xfId="0" applyFont="1" applyFill="1" applyBorder="1" applyAlignment="1">
      <alignment horizontal="left" vertical="center" wrapText="1"/>
    </xf>
    <xf numFmtId="0" fontId="6" fillId="22" borderId="66" xfId="0" applyFont="1" applyFill="1" applyBorder="1" applyAlignment="1">
      <alignment horizontal="left" vertical="center" wrapText="1"/>
    </xf>
    <xf numFmtId="0" fontId="6" fillId="23" borderId="67" xfId="0" applyFont="1" applyFill="1" applyBorder="1" applyAlignment="1">
      <alignment horizontal="left" vertical="center" wrapText="1"/>
    </xf>
    <xf numFmtId="0" fontId="0" fillId="20" borderId="68" xfId="0" applyFont="1" applyFill="1" applyBorder="1" applyAlignment="1">
      <alignment horizontal="center" vertical="center" wrapText="1"/>
    </xf>
    <xf numFmtId="0" fontId="33" fillId="10" borderId="35" xfId="0" applyFont="1" applyFill="1" applyBorder="1" applyAlignment="1">
      <alignment horizontal="center" vertical="center" wrapText="1"/>
    </xf>
    <xf numFmtId="0" fontId="33" fillId="11" borderId="69" xfId="0" applyFont="1" applyFill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top" wrapText="1"/>
    </xf>
    <xf numFmtId="0" fontId="13" fillId="0" borderId="70" xfId="0" applyFont="1" applyBorder="1" applyAlignment="1">
      <alignment horizontal="center" vertical="top" wrapText="1"/>
    </xf>
    <xf numFmtId="3" fontId="0" fillId="24" borderId="66" xfId="0" applyNumberFormat="1" applyFont="1" applyFill="1" applyBorder="1" applyAlignment="1" applyProtection="1">
      <alignment horizontal="center" vertical="center" wrapText="1"/>
      <protection locked="0"/>
    </xf>
    <xf numFmtId="3" fontId="0" fillId="24" borderId="67" xfId="0" applyNumberFormat="1" applyFont="1" applyFill="1" applyBorder="1" applyAlignment="1" applyProtection="1">
      <alignment horizontal="center" vertical="center" wrapText="1"/>
      <protection locked="0"/>
    </xf>
    <xf numFmtId="3" fontId="6" fillId="24" borderId="13" xfId="0" applyNumberFormat="1" applyFont="1" applyFill="1" applyBorder="1" applyAlignment="1" applyProtection="1">
      <alignment horizontal="center" vertical="center" wrapText="1"/>
      <protection locked="0"/>
    </xf>
    <xf numFmtId="3" fontId="6" fillId="24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15" borderId="31" xfId="2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24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4" fillId="25" borderId="19" xfId="0" applyFont="1" applyFill="1" applyBorder="1" applyAlignment="1" applyProtection="1">
      <alignment horizontal="left" vertical="center"/>
    </xf>
    <xf numFmtId="0" fontId="24" fillId="3" borderId="19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40" fillId="0" borderId="0" xfId="0" applyFont="1" applyAlignment="1" applyProtection="1">
      <alignment vertical="center"/>
    </xf>
    <xf numFmtId="0" fontId="6" fillId="0" borderId="71" xfId="0" applyFont="1" applyFill="1" applyBorder="1" applyAlignment="1" applyProtection="1">
      <alignment horizontal="left" vertical="center" wrapText="1"/>
    </xf>
    <xf numFmtId="0" fontId="6" fillId="25" borderId="71" xfId="0" applyFont="1" applyFill="1" applyBorder="1" applyAlignment="1" applyProtection="1">
      <alignment horizontal="center" vertical="center" wrapText="1"/>
    </xf>
    <xf numFmtId="0" fontId="24" fillId="3" borderId="19" xfId="0" applyFont="1" applyFill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left" vertical="center" wrapText="1"/>
    </xf>
    <xf numFmtId="0" fontId="24" fillId="13" borderId="19" xfId="0" applyFont="1" applyFill="1" applyBorder="1" applyAlignment="1" applyProtection="1">
      <alignment horizontal="center" vertical="center" wrapText="1"/>
    </xf>
    <xf numFmtId="0" fontId="24" fillId="13" borderId="31" xfId="0" applyFont="1" applyFill="1" applyBorder="1" applyAlignment="1" applyProtection="1">
      <alignment horizontal="center" vertical="center" wrapText="1"/>
    </xf>
    <xf numFmtId="0" fontId="24" fillId="13" borderId="72" xfId="0" applyFont="1" applyFill="1" applyBorder="1" applyAlignment="1" applyProtection="1">
      <alignment horizontal="center" vertical="center" wrapText="1"/>
    </xf>
    <xf numFmtId="0" fontId="41" fillId="0" borderId="19" xfId="0" applyNumberFormat="1" applyFont="1" applyFill="1" applyBorder="1" applyAlignment="1" applyProtection="1">
      <alignment wrapText="1"/>
    </xf>
    <xf numFmtId="1" fontId="24" fillId="3" borderId="19" xfId="0" applyNumberFormat="1" applyFont="1" applyFill="1" applyBorder="1" applyAlignment="1" applyProtection="1">
      <alignment horizontal="center" vertical="center"/>
    </xf>
    <xf numFmtId="0" fontId="41" fillId="0" borderId="0" xfId="0" applyFont="1" applyFill="1" applyProtection="1"/>
    <xf numFmtId="0" fontId="41" fillId="0" borderId="19" xfId="0" quotePrefix="1" applyNumberFormat="1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/>
    </xf>
    <xf numFmtId="0" fontId="6" fillId="13" borderId="19" xfId="0" applyFont="1" applyFill="1" applyBorder="1" applyAlignment="1" applyProtection="1">
      <alignment horizontal="center" vertical="center"/>
    </xf>
    <xf numFmtId="0" fontId="24" fillId="25" borderId="19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42" fillId="0" borderId="0" xfId="0" applyFont="1" applyBorder="1" applyAlignment="1" applyProtection="1">
      <alignment horizontal="left" vertical="center" wrapText="1"/>
    </xf>
    <xf numFmtId="0" fontId="42" fillId="0" borderId="0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42" fillId="0" borderId="0" xfId="0" applyFont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 wrapText="1"/>
    </xf>
    <xf numFmtId="164" fontId="24" fillId="3" borderId="19" xfId="0" applyNumberFormat="1" applyFont="1" applyFill="1" applyBorder="1" applyAlignment="1" applyProtection="1">
      <alignment horizontal="center" vertical="center"/>
    </xf>
    <xf numFmtId="164" fontId="41" fillId="25" borderId="19" xfId="0" quotePrefix="1" applyNumberFormat="1" applyFont="1" applyFill="1" applyBorder="1" applyProtection="1"/>
    <xf numFmtId="0" fontId="41" fillId="0" borderId="19" xfId="0" quotePrefix="1" applyNumberFormat="1" applyFont="1" applyFill="1" applyBorder="1" applyProtection="1"/>
    <xf numFmtId="0" fontId="41" fillId="0" borderId="19" xfId="0" applyNumberFormat="1" applyFont="1" applyFill="1" applyBorder="1" applyProtection="1"/>
    <xf numFmtId="0" fontId="24" fillId="0" borderId="19" xfId="0" applyFont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vertical="center"/>
    </xf>
    <xf numFmtId="0" fontId="24" fillId="13" borderId="19" xfId="0" applyFont="1" applyFill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0" fontId="24" fillId="25" borderId="19" xfId="0" applyFont="1" applyFill="1" applyBorder="1" applyAlignment="1" applyProtection="1">
      <alignment horizontal="right" vertical="center"/>
    </xf>
    <xf numFmtId="1" fontId="24" fillId="25" borderId="19" xfId="0" applyNumberFormat="1" applyFont="1" applyFill="1" applyBorder="1" applyAlignment="1" applyProtection="1">
      <alignment horizontal="right" vertical="center"/>
    </xf>
    <xf numFmtId="0" fontId="24" fillId="0" borderId="19" xfId="0" applyFont="1" applyBorder="1" applyAlignment="1" applyProtection="1">
      <alignment vertical="center"/>
    </xf>
    <xf numFmtId="0" fontId="24" fillId="13" borderId="19" xfId="0" applyFont="1" applyFill="1" applyBorder="1" applyAlignment="1" applyProtection="1">
      <alignment vertical="center"/>
    </xf>
    <xf numFmtId="0" fontId="6" fillId="0" borderId="19" xfId="0" applyFont="1" applyBorder="1" applyAlignment="1" applyProtection="1">
      <alignment vertical="center" wrapText="1"/>
    </xf>
    <xf numFmtId="1" fontId="6" fillId="3" borderId="19" xfId="0" applyNumberFormat="1" applyFont="1" applyFill="1" applyBorder="1" applyAlignment="1" applyProtection="1">
      <alignment horizontal="center" vertical="center"/>
    </xf>
    <xf numFmtId="0" fontId="24" fillId="0" borderId="19" xfId="0" applyFont="1" applyBorder="1" applyAlignment="1" applyProtection="1">
      <alignment horizontal="center" vertical="center"/>
    </xf>
    <xf numFmtId="0" fontId="24" fillId="13" borderId="19" xfId="0" applyFont="1" applyFill="1" applyBorder="1" applyAlignment="1" applyProtection="1">
      <alignment horizontal="center" vertical="center"/>
    </xf>
    <xf numFmtId="0" fontId="24" fillId="3" borderId="19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2" fontId="24" fillId="25" borderId="19" xfId="0" applyNumberFormat="1" applyFont="1" applyFill="1" applyBorder="1" applyAlignment="1" applyProtection="1">
      <alignment horizontal="right" vertical="center"/>
    </xf>
    <xf numFmtId="0" fontId="24" fillId="0" borderId="31" xfId="0" applyFont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73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15" borderId="19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44" fillId="0" borderId="19" xfId="0" quotePrefix="1" applyNumberFormat="1" applyFont="1" applyFill="1" applyBorder="1" applyAlignment="1" applyProtection="1">
      <alignment wrapText="1"/>
    </xf>
    <xf numFmtId="164" fontId="24" fillId="3" borderId="31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45" fillId="15" borderId="71" xfId="0" applyFont="1" applyFill="1" applyBorder="1" applyAlignment="1" applyProtection="1">
      <alignment horizontal="center" vertical="center" wrapText="1"/>
    </xf>
    <xf numFmtId="0" fontId="45" fillId="13" borderId="19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vertical="center" wrapText="1"/>
    </xf>
    <xf numFmtId="0" fontId="44" fillId="0" borderId="19" xfId="0" quotePrefix="1" applyNumberFormat="1" applyFont="1" applyFill="1" applyBorder="1" applyProtection="1"/>
    <xf numFmtId="0" fontId="44" fillId="0" borderId="0" xfId="0" applyFont="1" applyFill="1" applyProtection="1"/>
    <xf numFmtId="0" fontId="44" fillId="0" borderId="0" xfId="0" quotePrefix="1" applyNumberFormat="1" applyFont="1" applyFill="1" applyProtection="1"/>
    <xf numFmtId="0" fontId="44" fillId="0" borderId="19" xfId="0" applyNumberFormat="1" applyFont="1" applyFill="1" applyBorder="1" applyProtection="1"/>
    <xf numFmtId="0" fontId="45" fillId="0" borderId="71" xfId="0" applyFont="1" applyFill="1" applyBorder="1" applyAlignment="1" applyProtection="1">
      <alignment horizontal="left" vertical="center" wrapText="1"/>
    </xf>
    <xf numFmtId="0" fontId="45" fillId="15" borderId="74" xfId="0" applyFont="1" applyFill="1" applyBorder="1" applyAlignment="1" applyProtection="1">
      <alignment horizontal="center" vertical="center" wrapText="1"/>
    </xf>
    <xf numFmtId="0" fontId="24" fillId="0" borderId="75" xfId="0" applyFont="1" applyBorder="1" applyAlignment="1" applyProtection="1">
      <alignment horizontal="left" vertical="top" wrapText="1"/>
    </xf>
    <xf numFmtId="0" fontId="24" fillId="13" borderId="76" xfId="0" applyFont="1" applyFill="1" applyBorder="1" applyAlignment="1" applyProtection="1">
      <alignment horizontal="center" vertical="center" wrapText="1"/>
    </xf>
    <xf numFmtId="0" fontId="6" fillId="0" borderId="77" xfId="0" applyFont="1" applyBorder="1" applyAlignment="1" applyProtection="1">
      <alignment horizontal="center" vertical="top" wrapText="1"/>
    </xf>
    <xf numFmtId="0" fontId="24" fillId="0" borderId="78" xfId="0" applyFont="1" applyBorder="1" applyAlignment="1" applyProtection="1">
      <alignment horizontal="left" vertical="top" wrapText="1"/>
    </xf>
    <xf numFmtId="0" fontId="24" fillId="0" borderId="79" xfId="0" applyFont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41" fillId="0" borderId="0" xfId="0" quotePrefix="1" applyNumberFormat="1" applyFont="1" applyFill="1" applyProtection="1"/>
    <xf numFmtId="0" fontId="24" fillId="0" borderId="0" xfId="0" applyFont="1" applyFill="1" applyBorder="1" applyAlignment="1" applyProtection="1">
      <alignment horizontal="left" vertical="top" wrapText="1"/>
    </xf>
    <xf numFmtId="0" fontId="46" fillId="0" borderId="0" xfId="0" applyFont="1" applyFill="1" applyBorder="1" applyAlignment="1" applyProtection="1">
      <alignment horizontal="center"/>
    </xf>
    <xf numFmtId="0" fontId="40" fillId="0" borderId="0" xfId="0" applyFont="1" applyBorder="1" applyAlignment="1" applyProtection="1">
      <alignment horizontal="left" vertical="top" wrapText="1"/>
    </xf>
    <xf numFmtId="0" fontId="47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 vertical="top"/>
    </xf>
    <xf numFmtId="0" fontId="47" fillId="0" borderId="0" xfId="0" applyFont="1" applyAlignment="1" applyProtection="1">
      <alignment horizontal="center"/>
    </xf>
    <xf numFmtId="0" fontId="1" fillId="0" borderId="0" xfId="0" applyFont="1" applyProtection="1"/>
    <xf numFmtId="0" fontId="2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top" wrapText="1"/>
    </xf>
    <xf numFmtId="0" fontId="24" fillId="0" borderId="0" xfId="0" applyFont="1" applyBorder="1" applyAlignment="1" applyProtection="1">
      <alignment horizontal="left" vertical="top" wrapText="1"/>
    </xf>
    <xf numFmtId="0" fontId="24" fillId="0" borderId="0" xfId="0" applyFont="1" applyBorder="1" applyAlignment="1" applyProtection="1">
      <alignment horizontal="center" vertical="top" wrapText="1"/>
    </xf>
    <xf numFmtId="0" fontId="6" fillId="0" borderId="19" xfId="0" applyFont="1" applyFill="1" applyBorder="1" applyAlignment="1" applyProtection="1">
      <alignment vertical="center" wrapText="1"/>
    </xf>
    <xf numFmtId="2" fontId="24" fillId="13" borderId="19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Protection="1"/>
    <xf numFmtId="0" fontId="6" fillId="15" borderId="19" xfId="0" applyFont="1" applyFill="1" applyBorder="1" applyAlignment="1" applyProtection="1">
      <alignment horizontal="center" vertical="center"/>
    </xf>
    <xf numFmtId="0" fontId="24" fillId="13" borderId="19" xfId="0" applyFont="1" applyFill="1" applyBorder="1" applyAlignment="1" applyProtection="1">
      <alignment horizontal="center"/>
    </xf>
    <xf numFmtId="0" fontId="24" fillId="0" borderId="19" xfId="0" applyFont="1" applyBorder="1" applyAlignment="1" applyProtection="1">
      <alignment horizontal="left" vertical="top" wrapText="1"/>
    </xf>
    <xf numFmtId="0" fontId="24" fillId="0" borderId="19" xfId="0" applyFont="1" applyFill="1" applyBorder="1" applyAlignment="1" applyProtection="1">
      <alignment horizontal="left" vertical="top" wrapText="1"/>
    </xf>
    <xf numFmtId="0" fontId="26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2" fillId="16" borderId="75" xfId="0" applyFont="1" applyFill="1" applyBorder="1" applyAlignment="1" applyProtection="1">
      <alignment horizontal="left" vertical="center"/>
    </xf>
    <xf numFmtId="0" fontId="12" fillId="16" borderId="79" xfId="0" applyFont="1" applyFill="1" applyBorder="1" applyAlignment="1" applyProtection="1">
      <alignment horizontal="left" vertical="center" wrapText="1"/>
    </xf>
    <xf numFmtId="0" fontId="12" fillId="16" borderId="72" xfId="0" applyFont="1" applyFill="1" applyBorder="1" applyAlignment="1" applyProtection="1">
      <alignment horizontal="left" vertical="center" wrapText="1"/>
    </xf>
    <xf numFmtId="1" fontId="12" fillId="3" borderId="19" xfId="0" applyNumberFormat="1" applyFont="1" applyFill="1" applyBorder="1" applyAlignment="1" applyProtection="1">
      <alignment horizontal="center" vertical="center" wrapText="1"/>
    </xf>
    <xf numFmtId="1" fontId="12" fillId="0" borderId="0" xfId="0" applyNumberFormat="1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</xf>
    <xf numFmtId="1" fontId="12" fillId="0" borderId="19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 wrapText="1"/>
    </xf>
    <xf numFmtId="1" fontId="12" fillId="3" borderId="7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Alignment="1" applyProtection="1">
      <alignment horizontal="left" vertical="center" wrapText="1"/>
    </xf>
    <xf numFmtId="0" fontId="6" fillId="3" borderId="31" xfId="0" applyFont="1" applyFill="1" applyBorder="1" applyAlignment="1" applyProtection="1">
      <alignment horizontal="center" vertical="center"/>
    </xf>
    <xf numFmtId="1" fontId="12" fillId="3" borderId="19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1" fontId="12" fillId="3" borderId="71" xfId="0" applyNumberFormat="1" applyFont="1" applyFill="1" applyBorder="1" applyAlignment="1" applyProtection="1">
      <alignment horizontal="center" vertical="center"/>
    </xf>
    <xf numFmtId="0" fontId="12" fillId="3" borderId="31" xfId="0" applyFont="1" applyFill="1" applyBorder="1" applyAlignment="1" applyProtection="1">
      <alignment horizontal="center" vertical="center"/>
    </xf>
    <xf numFmtId="0" fontId="41" fillId="25" borderId="19" xfId="0" quotePrefix="1" applyNumberFormat="1" applyFont="1" applyFill="1" applyBorder="1" applyAlignment="1" applyProtection="1">
      <alignment horizontal="center" vertical="center"/>
    </xf>
    <xf numFmtId="164" fontId="41" fillId="25" borderId="19" xfId="0" quotePrefix="1" applyNumberFormat="1" applyFont="1" applyFill="1" applyBorder="1" applyAlignment="1" applyProtection="1">
      <alignment horizontal="center" vertical="center"/>
    </xf>
    <xf numFmtId="1" fontId="41" fillId="25" borderId="19" xfId="0" quotePrefix="1" applyNumberFormat="1" applyFont="1" applyFill="1" applyBorder="1" applyAlignment="1" applyProtection="1">
      <alignment horizontal="center" vertical="center"/>
    </xf>
    <xf numFmtId="0" fontId="6" fillId="13" borderId="80" xfId="0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0" fontId="44" fillId="25" borderId="19" xfId="0" quotePrefix="1" applyNumberFormat="1" applyFont="1" applyFill="1" applyBorder="1" applyAlignment="1" applyProtection="1">
      <alignment horizontal="center" vertical="center"/>
    </xf>
    <xf numFmtId="164" fontId="44" fillId="25" borderId="19" xfId="0" quotePrefix="1" applyNumberFormat="1" applyFont="1" applyFill="1" applyBorder="1" applyAlignment="1" applyProtection="1">
      <alignment horizontal="center" vertical="center"/>
    </xf>
    <xf numFmtId="164" fontId="44" fillId="25" borderId="75" xfId="0" quotePrefix="1" applyNumberFormat="1" applyFont="1" applyFill="1" applyBorder="1" applyAlignment="1" applyProtection="1">
      <alignment horizontal="center" vertical="center"/>
    </xf>
    <xf numFmtId="164" fontId="41" fillId="25" borderId="75" xfId="0" quotePrefix="1" applyNumberFormat="1" applyFont="1" applyFill="1" applyBorder="1" applyAlignment="1" applyProtection="1">
      <alignment horizontal="center" vertical="center"/>
    </xf>
    <xf numFmtId="164" fontId="24" fillId="3" borderId="76" xfId="0" applyNumberFormat="1" applyFont="1" applyFill="1" applyBorder="1" applyAlignment="1" applyProtection="1">
      <alignment horizontal="center" vertical="center"/>
    </xf>
    <xf numFmtId="0" fontId="6" fillId="0" borderId="82" xfId="0" applyFont="1" applyFill="1" applyBorder="1" applyAlignment="1" applyProtection="1">
      <alignment horizontal="center" vertical="center"/>
    </xf>
    <xf numFmtId="1" fontId="6" fillId="3" borderId="80" xfId="0" applyNumberFormat="1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 wrapText="1"/>
    </xf>
    <xf numFmtId="0" fontId="6" fillId="0" borderId="82" xfId="0" applyFont="1" applyBorder="1" applyAlignment="1" applyProtection="1">
      <alignment horizontal="center" vertical="center" wrapText="1"/>
    </xf>
    <xf numFmtId="1" fontId="6" fillId="3" borderId="80" xfId="0" applyNumberFormat="1" applyFont="1" applyFill="1" applyBorder="1" applyAlignment="1" applyProtection="1">
      <alignment horizontal="center" vertical="center" wrapText="1"/>
    </xf>
    <xf numFmtId="1" fontId="6" fillId="3" borderId="81" xfId="0" applyNumberFormat="1" applyFont="1" applyFill="1" applyBorder="1" applyAlignment="1" applyProtection="1">
      <alignment horizontal="center" vertical="center" wrapText="1"/>
    </xf>
    <xf numFmtId="0" fontId="24" fillId="3" borderId="80" xfId="0" applyFont="1" applyFill="1" applyBorder="1" applyAlignment="1" applyProtection="1">
      <alignment horizontal="center" vertical="center" wrapText="1"/>
    </xf>
    <xf numFmtId="1" fontId="24" fillId="3" borderId="80" xfId="0" applyNumberFormat="1" applyFont="1" applyFill="1" applyBorder="1" applyAlignment="1" applyProtection="1">
      <alignment horizontal="center" vertical="center" wrapText="1"/>
    </xf>
    <xf numFmtId="1" fontId="24" fillId="3" borderId="81" xfId="0" applyNumberFormat="1" applyFont="1" applyFill="1" applyBorder="1" applyAlignment="1" applyProtection="1">
      <alignment horizontal="center" vertical="center" wrapText="1"/>
    </xf>
    <xf numFmtId="164" fontId="46" fillId="3" borderId="19" xfId="0" applyNumberFormat="1" applyFont="1" applyFill="1" applyBorder="1" applyAlignment="1" applyProtection="1">
      <alignment horizontal="center" vertical="center"/>
    </xf>
    <xf numFmtId="0" fontId="44" fillId="25" borderId="19" xfId="0" applyNumberFormat="1" applyFont="1" applyFill="1" applyBorder="1" applyAlignment="1" applyProtection="1">
      <alignment horizontal="center" vertical="center"/>
    </xf>
    <xf numFmtId="166" fontId="44" fillId="25" borderId="19" xfId="0" quotePrefix="1" applyNumberFormat="1" applyFont="1" applyFill="1" applyBorder="1" applyAlignment="1" applyProtection="1">
      <alignment horizontal="center" vertical="center"/>
    </xf>
    <xf numFmtId="164" fontId="46" fillId="3" borderId="71" xfId="0" applyNumberFormat="1" applyFont="1" applyFill="1" applyBorder="1" applyAlignment="1" applyProtection="1">
      <alignment horizontal="center" vertical="center"/>
    </xf>
    <xf numFmtId="0" fontId="46" fillId="15" borderId="19" xfId="0" applyFont="1" applyFill="1" applyBorder="1" applyAlignment="1" applyProtection="1">
      <alignment horizontal="center" vertical="center"/>
      <protection locked="0"/>
    </xf>
    <xf numFmtId="164" fontId="24" fillId="25" borderId="19" xfId="0" applyNumberFormat="1" applyFont="1" applyFill="1" applyBorder="1" applyAlignment="1" applyProtection="1">
      <alignment horizontal="center" vertical="center" wrapText="1"/>
    </xf>
    <xf numFmtId="164" fontId="24" fillId="3" borderId="19" xfId="0" applyNumberFormat="1" applyFont="1" applyFill="1" applyBorder="1" applyAlignment="1" applyProtection="1">
      <alignment horizontal="center" vertical="center" wrapText="1"/>
    </xf>
    <xf numFmtId="164" fontId="44" fillId="25" borderId="19" xfId="0" quotePrefix="1" applyNumberFormat="1" applyFont="1" applyFill="1" applyBorder="1" applyAlignment="1" applyProtection="1">
      <alignment horizontal="center" vertical="center" wrapText="1"/>
    </xf>
    <xf numFmtId="164" fontId="41" fillId="25" borderId="19" xfId="0" quotePrefix="1" applyNumberFormat="1" applyFont="1" applyFill="1" applyBorder="1" applyAlignment="1" applyProtection="1">
      <alignment horizontal="center" vertical="center" wrapText="1"/>
    </xf>
    <xf numFmtId="164" fontId="24" fillId="3" borderId="71" xfId="0" applyNumberFormat="1" applyFont="1" applyFill="1" applyBorder="1" applyAlignment="1" applyProtection="1">
      <alignment horizontal="center" vertical="center" wrapText="1"/>
    </xf>
    <xf numFmtId="164" fontId="41" fillId="3" borderId="19" xfId="0" quotePrefix="1" applyNumberFormat="1" applyFont="1" applyFill="1" applyBorder="1" applyAlignment="1" applyProtection="1">
      <alignment horizontal="center" vertical="center"/>
    </xf>
    <xf numFmtId="2" fontId="41" fillId="25" borderId="19" xfId="0" quotePrefix="1" applyNumberFormat="1" applyFont="1" applyFill="1" applyBorder="1" applyAlignment="1" applyProtection="1">
      <alignment horizontal="center" vertical="center"/>
    </xf>
    <xf numFmtId="0" fontId="24" fillId="15" borderId="71" xfId="0" applyFont="1" applyFill="1" applyBorder="1" applyAlignment="1" applyProtection="1">
      <alignment horizontal="center" vertical="center" wrapText="1"/>
      <protection locked="0"/>
    </xf>
    <xf numFmtId="164" fontId="41" fillId="3" borderId="71" xfId="0" quotePrefix="1" applyNumberFormat="1" applyFont="1" applyFill="1" applyBorder="1" applyAlignment="1" applyProtection="1">
      <alignment horizontal="center" vertical="center"/>
    </xf>
    <xf numFmtId="2" fontId="24" fillId="3" borderId="19" xfId="0" applyNumberFormat="1" applyFont="1" applyFill="1" applyBorder="1" applyAlignment="1" applyProtection="1">
      <alignment horizontal="center" vertical="center" wrapText="1"/>
    </xf>
    <xf numFmtId="0" fontId="24" fillId="25" borderId="19" xfId="0" applyFont="1" applyFill="1" applyBorder="1" applyAlignment="1" applyProtection="1">
      <alignment horizontal="center" vertical="center" wrapText="1"/>
    </xf>
    <xf numFmtId="0" fontId="24" fillId="13" borderId="71" xfId="0" applyFont="1" applyFill="1" applyBorder="1" applyAlignment="1" applyProtection="1">
      <alignment horizontal="center" vertical="center"/>
    </xf>
    <xf numFmtId="0" fontId="24" fillId="0" borderId="82" xfId="0" applyFont="1" applyFill="1" applyBorder="1" applyAlignment="1" applyProtection="1">
      <alignment vertical="center"/>
    </xf>
    <xf numFmtId="0" fontId="44" fillId="15" borderId="19" xfId="0" quotePrefix="1" applyNumberFormat="1" applyFont="1" applyFill="1" applyBorder="1" applyAlignment="1" applyProtection="1">
      <alignment horizontal="center" vertical="center"/>
      <protection locked="0"/>
    </xf>
    <xf numFmtId="0" fontId="44" fillId="15" borderId="71" xfId="0" quotePrefix="1" applyNumberFormat="1" applyFont="1" applyFill="1" applyBorder="1" applyAlignment="1" applyProtection="1">
      <alignment horizontal="center" vertical="center"/>
      <protection locked="0"/>
    </xf>
    <xf numFmtId="164" fontId="24" fillId="3" borderId="71" xfId="0" applyNumberFormat="1" applyFont="1" applyFill="1" applyBorder="1" applyAlignment="1" applyProtection="1">
      <alignment horizontal="center" vertical="center"/>
    </xf>
    <xf numFmtId="0" fontId="12" fillId="16" borderId="83" xfId="0" applyFont="1" applyFill="1" applyBorder="1" applyAlignment="1" applyProtection="1">
      <alignment horizontal="left" vertical="center" wrapText="1"/>
    </xf>
    <xf numFmtId="0" fontId="12" fillId="0" borderId="84" xfId="0" applyFont="1" applyFill="1" applyBorder="1" applyAlignment="1" applyProtection="1">
      <alignment horizontal="left" vertical="center" wrapText="1"/>
    </xf>
    <xf numFmtId="0" fontId="12" fillId="0" borderId="31" xfId="0" applyFont="1" applyFill="1" applyBorder="1" applyAlignment="1" applyProtection="1">
      <alignment horizontal="left" vertical="center" wrapText="1"/>
    </xf>
    <xf numFmtId="0" fontId="12" fillId="0" borderId="77" xfId="0" applyFont="1" applyFill="1" applyBorder="1" applyAlignment="1" applyProtection="1">
      <alignment horizontal="left" vertical="center" wrapText="1"/>
    </xf>
    <xf numFmtId="0" fontId="12" fillId="0" borderId="82" xfId="0" applyFont="1" applyFill="1" applyBorder="1" applyAlignment="1" applyProtection="1">
      <alignment horizontal="center" vertical="center" wrapText="1"/>
    </xf>
    <xf numFmtId="1" fontId="12" fillId="3" borderId="80" xfId="0" applyNumberFormat="1" applyFont="1" applyFill="1" applyBorder="1" applyAlignment="1" applyProtection="1">
      <alignment horizontal="center" vertical="center" wrapText="1"/>
    </xf>
    <xf numFmtId="1" fontId="12" fillId="3" borderId="81" xfId="0" applyNumberFormat="1" applyFont="1" applyFill="1" applyBorder="1" applyAlignment="1" applyProtection="1">
      <alignment horizontal="center" vertical="center" wrapText="1"/>
    </xf>
    <xf numFmtId="0" fontId="24" fillId="0" borderId="78" xfId="0" applyFont="1" applyFill="1" applyBorder="1" applyAlignment="1" applyProtection="1">
      <alignment vertical="center"/>
    </xf>
    <xf numFmtId="1" fontId="12" fillId="3" borderId="80" xfId="0" applyNumberFormat="1" applyFont="1" applyFill="1" applyBorder="1" applyAlignment="1" applyProtection="1">
      <alignment horizontal="center" vertical="center"/>
    </xf>
    <xf numFmtId="1" fontId="12" fillId="3" borderId="81" xfId="0" applyNumberFormat="1" applyFont="1" applyFill="1" applyBorder="1" applyAlignment="1" applyProtection="1">
      <alignment horizontal="center" vertical="center"/>
    </xf>
    <xf numFmtId="0" fontId="12" fillId="0" borderId="82" xfId="0" applyFont="1" applyBorder="1" applyAlignment="1" applyProtection="1">
      <alignment horizontal="center" vertical="center" wrapText="1"/>
    </xf>
    <xf numFmtId="0" fontId="7" fillId="2" borderId="85" xfId="0" applyFont="1" applyFill="1" applyBorder="1" applyAlignment="1">
      <alignment horizontal="center" vertical="center" wrapText="1"/>
    </xf>
    <xf numFmtId="0" fontId="0" fillId="0" borderId="86" xfId="0" applyFont="1" applyBorder="1" applyAlignment="1">
      <alignment horizontal="center" vertical="center"/>
    </xf>
    <xf numFmtId="0" fontId="0" fillId="0" borderId="87" xfId="0" applyFont="1" applyBorder="1" applyAlignment="1">
      <alignment horizontal="center" vertical="center"/>
    </xf>
    <xf numFmtId="9" fontId="0" fillId="0" borderId="87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 wrapText="1"/>
    </xf>
    <xf numFmtId="1" fontId="0" fillId="0" borderId="49" xfId="0" applyNumberFormat="1" applyFont="1" applyBorder="1" applyAlignment="1">
      <alignment horizontal="center" vertical="center"/>
    </xf>
    <xf numFmtId="1" fontId="0" fillId="0" borderId="89" xfId="0" applyNumberFormat="1" applyFont="1" applyBorder="1" applyAlignment="1">
      <alignment horizontal="center" vertical="center"/>
    </xf>
    <xf numFmtId="1" fontId="0" fillId="0" borderId="90" xfId="0" applyNumberFormat="1" applyFont="1" applyBorder="1" applyAlignment="1">
      <alignment horizontal="center" vertical="center"/>
    </xf>
    <xf numFmtId="0" fontId="13" fillId="0" borderId="91" xfId="0" applyNumberFormat="1" applyFont="1" applyBorder="1" applyAlignment="1">
      <alignment horizontal="center"/>
    </xf>
    <xf numFmtId="9" fontId="13" fillId="0" borderId="91" xfId="0" applyNumberFormat="1" applyFont="1" applyBorder="1" applyAlignment="1">
      <alignment horizontal="center"/>
    </xf>
    <xf numFmtId="1" fontId="56" fillId="15" borderId="80" xfId="0" applyNumberFormat="1" applyFont="1" applyFill="1" applyBorder="1" applyAlignment="1">
      <alignment horizontal="center" vertical="center"/>
    </xf>
    <xf numFmtId="1" fontId="56" fillId="15" borderId="81" xfId="0" applyNumberFormat="1" applyFont="1" applyFill="1" applyBorder="1" applyAlignment="1">
      <alignment horizontal="center" vertical="center"/>
    </xf>
    <xf numFmtId="3" fontId="57" fillId="26" borderId="38" xfId="0" applyNumberFormat="1" applyFont="1" applyFill="1" applyBorder="1" applyAlignment="1">
      <alignment horizontal="center" vertical="center"/>
    </xf>
    <xf numFmtId="4" fontId="57" fillId="26" borderId="38" xfId="0" applyNumberFormat="1" applyFont="1" applyFill="1" applyBorder="1" applyAlignment="1">
      <alignment horizontal="center" vertical="center"/>
    </xf>
    <xf numFmtId="9" fontId="57" fillId="26" borderId="92" xfId="0" applyNumberFormat="1" applyFont="1" applyFill="1" applyBorder="1" applyAlignment="1">
      <alignment horizontal="center" vertical="center"/>
    </xf>
    <xf numFmtId="0" fontId="57" fillId="26" borderId="38" xfId="0" applyFont="1" applyFill="1" applyBorder="1" applyAlignment="1">
      <alignment horizontal="center" vertical="center" wrapText="1"/>
    </xf>
    <xf numFmtId="1" fontId="9" fillId="15" borderId="93" xfId="0" applyNumberFormat="1" applyFont="1" applyFill="1" applyBorder="1" applyAlignment="1">
      <alignment horizontal="center" vertical="center"/>
    </xf>
    <xf numFmtId="1" fontId="58" fillId="26" borderId="94" xfId="0" applyNumberFormat="1" applyFont="1" applyFill="1" applyBorder="1" applyAlignment="1">
      <alignment horizontal="center" vertical="center"/>
    </xf>
    <xf numFmtId="1" fontId="58" fillId="26" borderId="95" xfId="0" applyNumberFormat="1" applyFont="1" applyFill="1" applyBorder="1" applyAlignment="1">
      <alignment horizontal="center" vertical="center"/>
    </xf>
    <xf numFmtId="1" fontId="58" fillId="26" borderId="96" xfId="0" applyNumberFormat="1" applyFont="1" applyFill="1" applyBorder="1" applyAlignment="1">
      <alignment horizontal="center" vertical="center"/>
    </xf>
    <xf numFmtId="1" fontId="58" fillId="26" borderId="97" xfId="0" applyNumberFormat="1" applyFont="1" applyFill="1" applyBorder="1" applyAlignment="1">
      <alignment horizontal="center" vertical="center"/>
    </xf>
    <xf numFmtId="168" fontId="57" fillId="26" borderId="38" xfId="0" applyNumberFormat="1" applyFont="1" applyFill="1" applyBorder="1" applyAlignment="1">
      <alignment horizontal="center" vertical="center"/>
    </xf>
    <xf numFmtId="1" fontId="57" fillId="26" borderId="93" xfId="0" applyNumberFormat="1" applyFont="1" applyFill="1" applyBorder="1" applyAlignment="1">
      <alignment horizontal="center" vertical="center"/>
    </xf>
    <xf numFmtId="9" fontId="57" fillId="26" borderId="98" xfId="0" applyNumberFormat="1" applyFont="1" applyFill="1" applyBorder="1" applyAlignment="1">
      <alignment horizontal="center" vertical="center"/>
    </xf>
    <xf numFmtId="0" fontId="58" fillId="26" borderId="94" xfId="0" applyNumberFormat="1" applyFont="1" applyFill="1" applyBorder="1" applyAlignment="1">
      <alignment horizontal="center" vertical="center"/>
    </xf>
    <xf numFmtId="0" fontId="57" fillId="15" borderId="9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/>
    </xf>
    <xf numFmtId="0" fontId="8" fillId="0" borderId="99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3" fillId="0" borderId="91" xfId="0" applyFont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center"/>
    </xf>
    <xf numFmtId="0" fontId="13" fillId="0" borderId="63" xfId="0" applyFont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center"/>
    </xf>
    <xf numFmtId="0" fontId="57" fillId="15" borderId="92" xfId="0" applyFont="1" applyFill="1" applyBorder="1" applyAlignment="1">
      <alignment horizontal="center" vertical="center"/>
    </xf>
    <xf numFmtId="1" fontId="56" fillId="26" borderId="94" xfId="0" applyNumberFormat="1" applyFont="1" applyFill="1" applyBorder="1" applyAlignment="1">
      <alignment horizontal="center" vertical="center" wrapText="1"/>
    </xf>
    <xf numFmtId="0" fontId="56" fillId="26" borderId="94" xfId="0" applyNumberFormat="1" applyFont="1" applyFill="1" applyBorder="1" applyAlignment="1">
      <alignment horizontal="center" vertical="center" wrapText="1"/>
    </xf>
    <xf numFmtId="1" fontId="56" fillId="15" borderId="95" xfId="0" applyNumberFormat="1" applyFont="1" applyFill="1" applyBorder="1" applyAlignment="1">
      <alignment horizontal="center" vertical="center"/>
    </xf>
    <xf numFmtId="1" fontId="56" fillId="15" borderId="97" xfId="0" applyNumberFormat="1" applyFont="1" applyFill="1" applyBorder="1" applyAlignment="1">
      <alignment horizontal="center" vertical="center"/>
    </xf>
    <xf numFmtId="0" fontId="12" fillId="24" borderId="13" xfId="0" applyFont="1" applyFill="1" applyBorder="1" applyAlignment="1" applyProtection="1">
      <alignment horizontal="center" vertical="center" wrapText="1"/>
      <protection locked="0"/>
    </xf>
    <xf numFmtId="3" fontId="24" fillId="3" borderId="32" xfId="0" applyNumberFormat="1" applyFont="1" applyFill="1" applyBorder="1" applyAlignment="1">
      <alignment horizontal="center" vertical="center"/>
    </xf>
    <xf numFmtId="3" fontId="24" fillId="3" borderId="29" xfId="0" applyNumberFormat="1" applyFont="1" applyFill="1" applyBorder="1" applyAlignment="1">
      <alignment horizontal="center" vertical="center"/>
    </xf>
    <xf numFmtId="3" fontId="24" fillId="3" borderId="100" xfId="0" applyNumberFormat="1" applyFont="1" applyFill="1" applyBorder="1" applyAlignment="1">
      <alignment horizontal="center" vertical="center"/>
    </xf>
    <xf numFmtId="3" fontId="39" fillId="11" borderId="101" xfId="0" applyNumberFormat="1" applyFont="1" applyFill="1" applyBorder="1" applyAlignment="1">
      <alignment horizontal="center" vertical="center" wrapText="1"/>
    </xf>
    <xf numFmtId="0" fontId="19" fillId="16" borderId="79" xfId="0" applyFont="1" applyFill="1" applyBorder="1" applyAlignment="1" applyProtection="1">
      <alignment horizontal="left" vertical="center"/>
    </xf>
    <xf numFmtId="0" fontId="19" fillId="16" borderId="72" xfId="0" applyFont="1" applyFill="1" applyBorder="1" applyAlignment="1" applyProtection="1">
      <alignment horizontal="left" vertical="center"/>
    </xf>
    <xf numFmtId="0" fontId="19" fillId="16" borderId="83" xfId="0" applyFont="1" applyFill="1" applyBorder="1" applyAlignment="1" applyProtection="1">
      <alignment horizontal="left" vertical="center"/>
    </xf>
    <xf numFmtId="0" fontId="50" fillId="0" borderId="0" xfId="0" applyFont="1" applyProtection="1"/>
    <xf numFmtId="0" fontId="24" fillId="15" borderId="75" xfId="0" applyFont="1" applyFill="1" applyBorder="1" applyAlignment="1" applyProtection="1">
      <alignment vertical="center"/>
    </xf>
    <xf numFmtId="0" fontId="24" fillId="15" borderId="72" xfId="0" applyFont="1" applyFill="1" applyBorder="1" applyAlignment="1" applyProtection="1">
      <alignment vertical="center"/>
    </xf>
    <xf numFmtId="2" fontId="24" fillId="25" borderId="31" xfId="2" applyNumberFormat="1" applyFont="1" applyFill="1" applyBorder="1" applyAlignment="1" applyProtection="1">
      <alignment horizontal="center"/>
    </xf>
    <xf numFmtId="2" fontId="24" fillId="25" borderId="19" xfId="2" applyNumberFormat="1" applyFont="1" applyFill="1" applyBorder="1" applyAlignment="1" applyProtection="1">
      <alignment horizontal="center"/>
    </xf>
    <xf numFmtId="2" fontId="6" fillId="16" borderId="36" xfId="2" applyNumberFormat="1" applyFont="1" applyFill="1" applyBorder="1" applyAlignment="1" applyProtection="1">
      <alignment horizontal="left"/>
    </xf>
    <xf numFmtId="2" fontId="24" fillId="25" borderId="28" xfId="2" applyNumberFormat="1" applyFont="1" applyFill="1" applyBorder="1" applyAlignment="1" applyProtection="1">
      <alignment horizontal="center"/>
    </xf>
    <xf numFmtId="2" fontId="6" fillId="16" borderId="36" xfId="2" applyNumberFormat="1" applyFont="1" applyFill="1" applyBorder="1" applyAlignment="1" applyProtection="1">
      <alignment vertical="center"/>
    </xf>
    <xf numFmtId="2" fontId="24" fillId="25" borderId="31" xfId="2" applyNumberFormat="1" applyFont="1" applyFill="1" applyBorder="1" applyAlignment="1" applyProtection="1">
      <alignment horizontal="center" vertical="center"/>
    </xf>
    <xf numFmtId="2" fontId="24" fillId="25" borderId="19" xfId="2" applyNumberFormat="1" applyFont="1" applyFill="1" applyBorder="1" applyAlignment="1" applyProtection="1">
      <alignment horizontal="center" vertical="center"/>
    </xf>
    <xf numFmtId="2" fontId="24" fillId="16" borderId="36" xfId="2" applyNumberFormat="1" applyFill="1" applyBorder="1" applyAlignment="1" applyProtection="1">
      <alignment vertical="center"/>
    </xf>
    <xf numFmtId="0" fontId="0" fillId="0" borderId="0" xfId="0" applyFill="1"/>
    <xf numFmtId="0" fontId="0" fillId="0" borderId="19" xfId="0" applyFont="1" applyBorder="1" applyAlignment="1" applyProtection="1">
      <alignment vertical="center" wrapText="1"/>
    </xf>
    <xf numFmtId="0" fontId="41" fillId="15" borderId="19" xfId="0" quotePrefix="1" applyNumberFormat="1" applyFont="1" applyFill="1" applyBorder="1" applyAlignment="1" applyProtection="1">
      <alignment horizontal="center" vertical="center"/>
      <protection locked="0"/>
    </xf>
    <xf numFmtId="0" fontId="59" fillId="0" borderId="82" xfId="0" applyFont="1" applyBorder="1" applyAlignment="1" applyProtection="1">
      <alignment horizontal="center" vertical="center" wrapText="1"/>
    </xf>
    <xf numFmtId="1" fontId="59" fillId="3" borderId="80" xfId="0" applyNumberFormat="1" applyFont="1" applyFill="1" applyBorder="1" applyAlignment="1" applyProtection="1">
      <alignment horizontal="center" vertical="center" wrapText="1"/>
    </xf>
    <xf numFmtId="1" fontId="59" fillId="3" borderId="81" xfId="0" applyNumberFormat="1" applyFont="1" applyFill="1" applyBorder="1" applyAlignment="1" applyProtection="1">
      <alignment horizontal="center" vertical="center" wrapText="1"/>
    </xf>
    <xf numFmtId="0" fontId="13" fillId="13" borderId="76" xfId="0" applyFont="1" applyFill="1" applyBorder="1" applyAlignment="1" applyProtection="1">
      <alignment horizontal="center" vertical="center"/>
    </xf>
    <xf numFmtId="0" fontId="12" fillId="15" borderId="19" xfId="0" applyFont="1" applyFill="1" applyBorder="1" applyAlignment="1" applyProtection="1">
      <alignment horizontal="center" vertical="center"/>
    </xf>
    <xf numFmtId="0" fontId="45" fillId="25" borderId="71" xfId="0" applyFont="1" applyFill="1" applyBorder="1" applyAlignment="1" applyProtection="1">
      <alignment horizontal="center" vertical="center" wrapText="1"/>
    </xf>
    <xf numFmtId="0" fontId="45" fillId="3" borderId="71" xfId="0" applyFont="1" applyFill="1" applyBorder="1" applyAlignment="1" applyProtection="1">
      <alignment horizontal="center" vertical="center" wrapText="1"/>
    </xf>
    <xf numFmtId="0" fontId="45" fillId="15" borderId="19" xfId="0" applyFont="1" applyFill="1" applyBorder="1" applyAlignment="1" applyProtection="1">
      <alignment horizontal="center" vertical="center" wrapText="1"/>
    </xf>
    <xf numFmtId="0" fontId="6" fillId="15" borderId="71" xfId="0" applyFont="1" applyFill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/>
    </xf>
    <xf numFmtId="0" fontId="0" fillId="13" borderId="19" xfId="0" applyFont="1" applyFill="1" applyBorder="1" applyAlignment="1" applyProtection="1">
      <alignment horizontal="center" vertical="center"/>
    </xf>
    <xf numFmtId="0" fontId="0" fillId="13" borderId="19" xfId="0" applyFont="1" applyFill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Alignment="1" applyProtection="1">
      <alignment vertical="top" wrapText="1"/>
    </xf>
    <xf numFmtId="0" fontId="0" fillId="0" borderId="113" xfId="4" applyNumberFormat="1" applyFont="1" applyFill="1" applyBorder="1" applyAlignment="1" applyProtection="1">
      <alignment horizontal="left"/>
    </xf>
    <xf numFmtId="164" fontId="0" fillId="27" borderId="113" xfId="0" applyNumberFormat="1" applyFont="1" applyFill="1" applyBorder="1" applyAlignment="1">
      <alignment horizontal="right" vertical="center"/>
    </xf>
    <xf numFmtId="169" fontId="63" fillId="29" borderId="113" xfId="0" applyNumberFormat="1" applyFont="1" applyFill="1" applyBorder="1" applyAlignment="1">
      <alignment horizontal="center" vertical="center"/>
    </xf>
    <xf numFmtId="0" fontId="63" fillId="30" borderId="113" xfId="0" applyFont="1" applyFill="1" applyBorder="1" applyAlignment="1">
      <alignment horizontal="center" vertical="center" wrapText="1"/>
    </xf>
    <xf numFmtId="169" fontId="63" fillId="27" borderId="113" xfId="0" applyNumberFormat="1" applyFont="1" applyFill="1" applyBorder="1" applyAlignment="1">
      <alignment horizontal="center" vertical="center"/>
    </xf>
    <xf numFmtId="164" fontId="12" fillId="28" borderId="113" xfId="0" applyNumberFormat="1" applyFont="1" applyFill="1" applyBorder="1" applyAlignment="1">
      <alignment horizontal="center" vertical="center"/>
    </xf>
    <xf numFmtId="164" fontId="12" fillId="31" borderId="113" xfId="0" applyNumberFormat="1" applyFont="1" applyFill="1" applyBorder="1" applyAlignment="1">
      <alignment horizontal="center" vertical="center" wrapText="1"/>
    </xf>
    <xf numFmtId="0" fontId="33" fillId="32" borderId="56" xfId="0" applyFont="1" applyFill="1" applyBorder="1" applyAlignment="1">
      <alignment horizontal="center" vertical="center" wrapText="1"/>
    </xf>
    <xf numFmtId="0" fontId="33" fillId="33" borderId="31" xfId="0" applyFont="1" applyFill="1" applyBorder="1" applyAlignment="1">
      <alignment horizontal="center" vertical="center" wrapText="1"/>
    </xf>
    <xf numFmtId="0" fontId="0" fillId="15" borderId="31" xfId="2" applyFont="1" applyFill="1" applyBorder="1" applyAlignment="1" applyProtection="1">
      <alignment horizontal="center"/>
      <protection locked="0"/>
    </xf>
    <xf numFmtId="0" fontId="0" fillId="15" borderId="1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65" fillId="0" borderId="0" xfId="0" applyFont="1"/>
    <xf numFmtId="0" fontId="66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115" xfId="0" applyFont="1" applyBorder="1" applyAlignment="1">
      <alignment horizontal="right" vertical="center" wrapText="1"/>
    </xf>
    <xf numFmtId="0" fontId="0" fillId="15" borderId="11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left" vertical="center" wrapText="1"/>
    </xf>
    <xf numFmtId="0" fontId="68" fillId="37" borderId="113" xfId="0" applyFont="1" applyFill="1" applyBorder="1" applyAlignment="1">
      <alignment horizontal="right" vertical="center"/>
    </xf>
    <xf numFmtId="2" fontId="68" fillId="37" borderId="113" xfId="0" applyNumberFormat="1" applyFont="1" applyFill="1" applyBorder="1" applyAlignment="1">
      <alignment horizontal="center" vertical="center" wrapText="1"/>
    </xf>
    <xf numFmtId="2" fontId="65" fillId="37" borderId="119" xfId="0" applyNumberFormat="1" applyFont="1" applyFill="1" applyBorder="1" applyAlignment="1">
      <alignment vertical="center" wrapText="1"/>
    </xf>
    <xf numFmtId="0" fontId="68" fillId="38" borderId="113" xfId="0" applyFont="1" applyFill="1" applyBorder="1" applyAlignment="1">
      <alignment horizontal="right" vertical="center"/>
    </xf>
    <xf numFmtId="2" fontId="68" fillId="38" borderId="113" xfId="0" applyNumberFormat="1" applyFont="1" applyFill="1" applyBorder="1" applyAlignment="1">
      <alignment horizontal="center" vertical="center" wrapText="1"/>
    </xf>
    <xf numFmtId="2" fontId="65" fillId="38" borderId="119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right"/>
    </xf>
    <xf numFmtId="0" fontId="0" fillId="0" borderId="0" xfId="0" applyFill="1" applyAlignment="1">
      <alignment vertical="center" wrapText="1"/>
    </xf>
    <xf numFmtId="0" fontId="69" fillId="36" borderId="122" xfId="0" applyFont="1" applyFill="1" applyBorder="1" applyAlignment="1" applyProtection="1">
      <alignment horizontal="center" vertical="center" wrapText="1"/>
      <protection locked="0"/>
    </xf>
    <xf numFmtId="0" fontId="69" fillId="36" borderId="123" xfId="0" applyFont="1" applyFill="1" applyBorder="1" applyAlignment="1" applyProtection="1">
      <alignment horizontal="center" vertical="center" wrapText="1"/>
      <protection locked="0"/>
    </xf>
    <xf numFmtId="0" fontId="67" fillId="39" borderId="119" xfId="0" applyFont="1" applyFill="1" applyBorder="1" applyAlignment="1" applyProtection="1">
      <alignment horizontal="center" vertical="center" wrapText="1"/>
      <protection locked="0"/>
    </xf>
    <xf numFmtId="0" fontId="65" fillId="0" borderId="0" xfId="0" applyFont="1" applyAlignment="1">
      <alignment horizontal="right" wrapText="1"/>
    </xf>
    <xf numFmtId="3" fontId="0" fillId="29" borderId="113" xfId="0" applyNumberFormat="1" applyFill="1" applyBorder="1" applyAlignment="1" applyProtection="1">
      <alignment horizontal="center" vertical="center"/>
      <protection locked="0"/>
    </xf>
    <xf numFmtId="2" fontId="0" fillId="40" borderId="113" xfId="0" applyNumberFormat="1" applyFill="1" applyBorder="1" applyAlignment="1">
      <alignment horizontal="center" vertical="center" wrapText="1"/>
    </xf>
    <xf numFmtId="2" fontId="65" fillId="40" borderId="119" xfId="0" applyNumberFormat="1" applyFont="1" applyFill="1" applyBorder="1" applyAlignment="1">
      <alignment horizontal="center" vertical="center" wrapText="1"/>
    </xf>
    <xf numFmtId="2" fontId="65" fillId="0" borderId="0" xfId="0" applyNumberFormat="1" applyFont="1" applyAlignment="1">
      <alignment horizontal="right" vertical="center"/>
    </xf>
    <xf numFmtId="0" fontId="65" fillId="0" borderId="0" xfId="0" applyFont="1" applyAlignment="1">
      <alignment vertical="center" wrapText="1"/>
    </xf>
    <xf numFmtId="0" fontId="0" fillId="0" borderId="113" xfId="0" applyFont="1" applyBorder="1" applyAlignment="1">
      <alignment horizontal="center" vertical="center" wrapText="1"/>
    </xf>
    <xf numFmtId="2" fontId="65" fillId="40" borderId="119" xfId="0" applyNumberFormat="1" applyFont="1" applyFill="1" applyBorder="1" applyAlignment="1">
      <alignment vertical="center" wrapText="1"/>
    </xf>
    <xf numFmtId="2" fontId="65" fillId="0" borderId="0" xfId="0" applyNumberFormat="1" applyFont="1" applyBorder="1" applyAlignment="1">
      <alignment vertical="center" wrapText="1"/>
    </xf>
    <xf numFmtId="0" fontId="71" fillId="37" borderId="119" xfId="0" applyFont="1" applyFill="1" applyBorder="1" applyAlignment="1">
      <alignment horizontal="center" vertical="center"/>
    </xf>
    <xf numFmtId="2" fontId="65" fillId="0" borderId="0" xfId="0" applyNumberFormat="1" applyFont="1" applyAlignment="1">
      <alignment vertical="center" wrapText="1"/>
    </xf>
    <xf numFmtId="0" fontId="71" fillId="38" borderId="119" xfId="0" applyFont="1" applyFill="1" applyBorder="1" applyAlignment="1">
      <alignment horizontal="center" vertical="center"/>
    </xf>
    <xf numFmtId="0" fontId="65" fillId="0" borderId="119" xfId="0" applyFont="1" applyBorder="1" applyAlignment="1" applyProtection="1">
      <alignment horizontal="center" vertical="center" wrapText="1"/>
      <protection locked="0"/>
    </xf>
    <xf numFmtId="171" fontId="73" fillId="0" borderId="0" xfId="5" applyNumberFormat="1" applyFont="1" applyFill="1" applyBorder="1" applyAlignment="1" applyProtection="1">
      <alignment vertical="center" wrapText="1"/>
    </xf>
    <xf numFmtId="0" fontId="65" fillId="0" borderId="0" xfId="0" applyFont="1" applyBorder="1" applyAlignment="1">
      <alignment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" fillId="0" borderId="0" xfId="0" applyFont="1"/>
    <xf numFmtId="0" fontId="77" fillId="0" borderId="0" xfId="0" applyFont="1"/>
    <xf numFmtId="0" fontId="0" fillId="15" borderId="113" xfId="0" applyFill="1" applyBorder="1" applyAlignment="1">
      <alignment horizontal="center"/>
    </xf>
    <xf numFmtId="0" fontId="68" fillId="37" borderId="113" xfId="0" applyFont="1" applyFill="1" applyBorder="1" applyAlignment="1">
      <alignment horizontal="left" vertical="center"/>
    </xf>
    <xf numFmtId="0" fontId="68" fillId="38" borderId="113" xfId="0" applyFont="1" applyFill="1" applyBorder="1" applyAlignment="1">
      <alignment horizontal="left" vertical="center"/>
    </xf>
    <xf numFmtId="0" fontId="65" fillId="0" borderId="0" xfId="0" applyFont="1" applyBorder="1" applyAlignment="1">
      <alignment horizontal="center" vertical="center" wrapText="1"/>
    </xf>
    <xf numFmtId="9" fontId="1" fillId="0" borderId="0" xfId="3" applyFill="1" applyAlignment="1">
      <alignment horizontal="center"/>
    </xf>
    <xf numFmtId="0" fontId="6" fillId="15" borderId="113" xfId="0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right"/>
    </xf>
    <xf numFmtId="0" fontId="0" fillId="42" borderId="0" xfId="0" applyFont="1" applyFill="1" applyAlignment="1">
      <alignment vertical="center" wrapText="1"/>
    </xf>
    <xf numFmtId="0" fontId="0" fillId="42" borderId="0" xfId="0" applyFill="1"/>
    <xf numFmtId="0" fontId="6" fillId="0" borderId="78" xfId="0" applyFont="1" applyBorder="1" applyAlignment="1" applyProtection="1">
      <alignment horizontal="center"/>
    </xf>
    <xf numFmtId="0" fontId="33" fillId="0" borderId="102" xfId="0" applyFont="1" applyBorder="1" applyAlignment="1">
      <alignment horizontal="center" vertical="center"/>
    </xf>
    <xf numFmtId="0" fontId="33" fillId="0" borderId="103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104" xfId="0" applyFont="1" applyBorder="1" applyAlignment="1">
      <alignment horizontal="center" vertical="center"/>
    </xf>
    <xf numFmtId="9" fontId="1" fillId="3" borderId="37" xfId="3" applyFill="1" applyBorder="1" applyAlignment="1">
      <alignment horizontal="center" vertical="center"/>
    </xf>
    <xf numFmtId="9" fontId="1" fillId="3" borderId="29" xfId="3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05" xfId="0" applyFont="1" applyBorder="1" applyAlignment="1">
      <alignment horizontal="left" vertical="center"/>
    </xf>
    <xf numFmtId="0" fontId="6" fillId="0" borderId="71" xfId="0" applyFont="1" applyBorder="1" applyAlignment="1">
      <alignment horizontal="left" vertical="center"/>
    </xf>
    <xf numFmtId="164" fontId="24" fillId="3" borderId="32" xfId="0" applyNumberFormat="1" applyFont="1" applyFill="1" applyBorder="1" applyAlignment="1">
      <alignment horizontal="center" vertical="center"/>
    </xf>
    <xf numFmtId="164" fontId="24" fillId="3" borderId="100" xfId="0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164" fontId="24" fillId="15" borderId="37" xfId="0" applyNumberFormat="1" applyFont="1" applyFill="1" applyBorder="1" applyAlignment="1" applyProtection="1">
      <alignment horizontal="center" vertical="center"/>
      <protection locked="0"/>
    </xf>
    <xf numFmtId="164" fontId="24" fillId="15" borderId="32" xfId="0" applyNumberFormat="1" applyFont="1" applyFill="1" applyBorder="1" applyAlignment="1" applyProtection="1">
      <alignment horizontal="center" vertical="center"/>
      <protection locked="0"/>
    </xf>
    <xf numFmtId="0" fontId="5" fillId="16" borderId="0" xfId="0" applyFont="1" applyFill="1" applyAlignment="1" applyProtection="1">
      <alignment horizontal="left" vertical="center" wrapText="1"/>
    </xf>
    <xf numFmtId="0" fontId="6" fillId="13" borderId="75" xfId="0" applyFont="1" applyFill="1" applyBorder="1" applyAlignment="1" applyProtection="1">
      <alignment horizontal="center" vertical="center"/>
    </xf>
    <xf numFmtId="0" fontId="6" fillId="13" borderId="72" xfId="0" applyFont="1" applyFill="1" applyBorder="1" applyAlignment="1" applyProtection="1">
      <alignment horizontal="center" vertical="center"/>
    </xf>
    <xf numFmtId="0" fontId="6" fillId="13" borderId="106" xfId="0" applyFont="1" applyFill="1" applyBorder="1" applyAlignment="1" applyProtection="1">
      <alignment horizontal="center" vertical="center"/>
    </xf>
    <xf numFmtId="0" fontId="6" fillId="13" borderId="107" xfId="0" applyFont="1" applyFill="1" applyBorder="1" applyAlignment="1" applyProtection="1">
      <alignment horizontal="center" vertical="center"/>
    </xf>
    <xf numFmtId="0" fontId="6" fillId="0" borderId="75" xfId="0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center" vertical="center"/>
    </xf>
    <xf numFmtId="0" fontId="6" fillId="0" borderId="7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</xf>
    <xf numFmtId="0" fontId="6" fillId="0" borderId="74" xfId="0" applyFont="1" applyFill="1" applyBorder="1" applyAlignment="1" applyProtection="1">
      <alignment horizontal="center" vertical="center"/>
    </xf>
    <xf numFmtId="0" fontId="6" fillId="0" borderId="73" xfId="0" applyFont="1" applyFill="1" applyBorder="1" applyAlignment="1" applyProtection="1">
      <alignment horizontal="center" vertical="center"/>
    </xf>
    <xf numFmtId="0" fontId="6" fillId="0" borderId="83" xfId="0" applyFont="1" applyFill="1" applyBorder="1" applyAlignment="1" applyProtection="1">
      <alignment horizontal="center" vertical="center"/>
    </xf>
    <xf numFmtId="0" fontId="49" fillId="0" borderId="0" xfId="0" applyFont="1" applyFill="1" applyBorder="1" applyAlignment="1" applyProtection="1">
      <alignment horizontal="center" vertical="center" wrapText="1"/>
    </xf>
    <xf numFmtId="0" fontId="12" fillId="16" borderId="0" xfId="0" applyFont="1" applyFill="1" applyAlignment="1" applyProtection="1">
      <alignment horizontal="left" vertical="center" wrapText="1"/>
    </xf>
    <xf numFmtId="0" fontId="6" fillId="0" borderId="19" xfId="0" applyFont="1" applyFill="1" applyBorder="1" applyAlignment="1" applyProtection="1">
      <alignment vertical="center"/>
    </xf>
    <xf numFmtId="0" fontId="5" fillId="14" borderId="0" xfId="0" applyFont="1" applyFill="1" applyAlignment="1" applyProtection="1">
      <alignment horizontal="left" vertical="center" wrapText="1"/>
    </xf>
    <xf numFmtId="0" fontId="0" fillId="14" borderId="0" xfId="0" applyFill="1" applyAlignment="1" applyProtection="1">
      <alignment horizontal="left" vertical="center" wrapText="1"/>
    </xf>
    <xf numFmtId="0" fontId="0" fillId="14" borderId="0" xfId="0" applyFill="1" applyAlignment="1" applyProtection="1">
      <alignment vertical="center"/>
    </xf>
    <xf numFmtId="0" fontId="6" fillId="0" borderId="75" xfId="0" applyFont="1" applyBorder="1" applyAlignment="1" applyProtection="1">
      <alignment horizontal="center" vertical="center"/>
    </xf>
    <xf numFmtId="0" fontId="6" fillId="0" borderId="72" xfId="0" applyFont="1" applyBorder="1" applyAlignment="1" applyProtection="1">
      <alignment horizontal="center" vertical="center"/>
    </xf>
    <xf numFmtId="0" fontId="12" fillId="0" borderId="108" xfId="0" applyFont="1" applyBorder="1" applyAlignment="1" applyProtection="1">
      <alignment horizontal="center" vertical="center"/>
    </xf>
    <xf numFmtId="0" fontId="12" fillId="0" borderId="107" xfId="0" applyFont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6" fillId="0" borderId="73" xfId="0" applyFont="1" applyFill="1" applyBorder="1" applyAlignment="1" applyProtection="1">
      <alignment horizontal="center" vertical="center" wrapText="1"/>
    </xf>
    <xf numFmtId="0" fontId="24" fillId="0" borderId="78" xfId="0" applyFont="1" applyFill="1" applyBorder="1" applyAlignment="1" applyProtection="1">
      <alignment wrapText="1"/>
    </xf>
    <xf numFmtId="0" fontId="45" fillId="0" borderId="71" xfId="0" applyFont="1" applyFill="1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0" fontId="24" fillId="15" borderId="75" xfId="0" applyFont="1" applyFill="1" applyBorder="1" applyAlignment="1" applyProtection="1">
      <alignment horizontal="left" vertical="center"/>
    </xf>
    <xf numFmtId="0" fontId="24" fillId="15" borderId="79" xfId="0" applyFont="1" applyFill="1" applyBorder="1" applyAlignment="1" applyProtection="1">
      <alignment horizontal="left" vertical="center"/>
    </xf>
    <xf numFmtId="0" fontId="24" fillId="15" borderId="72" xfId="0" applyFont="1" applyFill="1" applyBorder="1" applyAlignment="1" applyProtection="1">
      <alignment horizontal="left" vertical="center"/>
    </xf>
    <xf numFmtId="0" fontId="24" fillId="13" borderId="19" xfId="0" applyFont="1" applyFill="1" applyBorder="1" applyAlignment="1" applyProtection="1">
      <alignment horizontal="left" vertical="center"/>
    </xf>
    <xf numFmtId="0" fontId="52" fillId="0" borderId="33" xfId="0" applyFont="1" applyBorder="1" applyAlignment="1" applyProtection="1">
      <alignment horizontal="center" vertical="center" wrapText="1"/>
    </xf>
    <xf numFmtId="0" fontId="52" fillId="0" borderId="34" xfId="0" applyFont="1" applyBorder="1" applyAlignment="1" applyProtection="1">
      <alignment horizontal="center" vertical="center" wrapText="1"/>
    </xf>
    <xf numFmtId="0" fontId="52" fillId="0" borderId="109" xfId="0" applyFont="1" applyBorder="1" applyAlignment="1" applyProtection="1">
      <alignment horizontal="center" vertical="center" wrapText="1"/>
    </xf>
    <xf numFmtId="0" fontId="52" fillId="0" borderId="28" xfId="0" applyFont="1" applyBorder="1" applyAlignment="1" applyProtection="1">
      <alignment horizontal="center" vertical="center" wrapText="1"/>
    </xf>
    <xf numFmtId="1" fontId="52" fillId="3" borderId="37" xfId="0" applyNumberFormat="1" applyFont="1" applyFill="1" applyBorder="1" applyAlignment="1" applyProtection="1">
      <alignment horizontal="center" vertical="center" wrapText="1"/>
    </xf>
    <xf numFmtId="1" fontId="52" fillId="3" borderId="29" xfId="0" applyNumberFormat="1" applyFont="1" applyFill="1" applyBorder="1" applyAlignment="1" applyProtection="1">
      <alignment horizontal="center" vertical="center" wrapText="1"/>
    </xf>
    <xf numFmtId="0" fontId="60" fillId="0" borderId="0" xfId="0" applyFont="1" applyAlignment="1" applyProtection="1">
      <alignment horizontal="center" vertical="center" wrapText="1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left" vertical="center" wrapText="1"/>
    </xf>
    <xf numFmtId="0" fontId="10" fillId="0" borderId="77" xfId="0" applyFont="1" applyBorder="1" applyAlignment="1" applyProtection="1">
      <alignment horizontal="left" vertical="center" wrapText="1"/>
    </xf>
    <xf numFmtId="0" fontId="10" fillId="0" borderId="78" xfId="0" applyFont="1" applyBorder="1" applyAlignment="1" applyProtection="1">
      <alignment horizontal="left" vertical="center" wrapText="1"/>
    </xf>
    <xf numFmtId="164" fontId="55" fillId="0" borderId="73" xfId="0" applyNumberFormat="1" applyFont="1" applyFill="1" applyBorder="1" applyAlignment="1" applyProtection="1">
      <alignment horizontal="center" vertical="center" wrapText="1"/>
    </xf>
    <xf numFmtId="164" fontId="55" fillId="0" borderId="78" xfId="0" applyNumberFormat="1" applyFont="1" applyFill="1" applyBorder="1" applyAlignment="1" applyProtection="1">
      <alignment horizontal="center" vertical="center" wrapText="1"/>
    </xf>
    <xf numFmtId="0" fontId="10" fillId="0" borderId="73" xfId="0" applyFont="1" applyBorder="1" applyAlignment="1" applyProtection="1">
      <alignment horizontal="center" vertical="center" wrapText="1"/>
    </xf>
    <xf numFmtId="0" fontId="10" fillId="0" borderId="83" xfId="0" applyFont="1" applyBorder="1" applyAlignment="1" applyProtection="1">
      <alignment horizontal="center" vertical="center" wrapText="1"/>
    </xf>
    <xf numFmtId="0" fontId="10" fillId="0" borderId="78" xfId="0" applyFont="1" applyBorder="1" applyAlignment="1" applyProtection="1">
      <alignment horizontal="center" vertical="center" wrapText="1"/>
    </xf>
    <xf numFmtId="0" fontId="10" fillId="0" borderId="84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0" fillId="36" borderId="120" xfId="0" applyFont="1" applyFill="1" applyBorder="1" applyAlignment="1">
      <alignment horizontal="center" vertical="center"/>
    </xf>
    <xf numFmtId="0" fontId="0" fillId="36" borderId="121" xfId="0" applyFont="1" applyFill="1" applyBorder="1" applyAlignment="1">
      <alignment horizontal="center" vertical="center"/>
    </xf>
    <xf numFmtId="3" fontId="0" fillId="36" borderId="120" xfId="0" applyNumberFormat="1" applyFont="1" applyFill="1" applyBorder="1" applyAlignment="1" applyProtection="1">
      <alignment horizontal="center" vertical="center"/>
      <protection locked="0"/>
    </xf>
    <xf numFmtId="3" fontId="0" fillId="36" borderId="121" xfId="0" applyNumberFormat="1" applyFont="1" applyFill="1" applyBorder="1" applyAlignment="1" applyProtection="1">
      <alignment horizontal="center" vertical="center"/>
      <protection locked="0"/>
    </xf>
    <xf numFmtId="0" fontId="64" fillId="34" borderId="0" xfId="0" applyFont="1" applyFill="1" applyBorder="1" applyAlignment="1">
      <alignment horizontal="center" vertical="center"/>
    </xf>
    <xf numFmtId="0" fontId="12" fillId="35" borderId="0" xfId="0" applyFont="1" applyFill="1" applyBorder="1" applyAlignment="1">
      <alignment horizontal="center" vertical="center"/>
    </xf>
    <xf numFmtId="0" fontId="12" fillId="33" borderId="113" xfId="0" applyFont="1" applyFill="1" applyBorder="1" applyAlignment="1">
      <alignment horizontal="center" vertical="center" wrapText="1"/>
    </xf>
    <xf numFmtId="0" fontId="12" fillId="28" borderId="113" xfId="0" applyFont="1" applyFill="1" applyBorder="1" applyAlignment="1">
      <alignment horizontal="center" vertical="center" wrapText="1"/>
    </xf>
    <xf numFmtId="0" fontId="33" fillId="28" borderId="113" xfId="0" applyFont="1" applyFill="1" applyBorder="1" applyAlignment="1">
      <alignment horizontal="center" vertical="center" wrapText="1"/>
    </xf>
    <xf numFmtId="0" fontId="33" fillId="0" borderId="113" xfId="0" applyFont="1" applyBorder="1" applyAlignment="1">
      <alignment horizontal="center" vertical="center" wrapText="1"/>
    </xf>
    <xf numFmtId="0" fontId="33" fillId="0" borderId="113" xfId="0" applyFont="1" applyFill="1" applyBorder="1" applyAlignment="1">
      <alignment horizontal="center" vertical="center" wrapText="1"/>
    </xf>
    <xf numFmtId="0" fontId="12" fillId="31" borderId="113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3" fillId="33" borderId="116" xfId="0" applyFont="1" applyFill="1" applyBorder="1" applyAlignment="1">
      <alignment horizontal="center" vertical="center" wrapText="1"/>
    </xf>
    <xf numFmtId="0" fontId="33" fillId="33" borderId="31" xfId="0" applyFont="1" applyFill="1" applyBorder="1" applyAlignment="1">
      <alignment horizontal="center" vertical="center" wrapText="1"/>
    </xf>
    <xf numFmtId="0" fontId="33" fillId="33" borderId="114" xfId="0" applyFont="1" applyFill="1" applyBorder="1" applyAlignment="1">
      <alignment horizontal="center" vertical="center" wrapText="1"/>
    </xf>
    <xf numFmtId="0" fontId="33" fillId="33" borderId="115" xfId="0" applyFont="1" applyFill="1" applyBorder="1" applyAlignment="1">
      <alignment horizontal="center" vertical="center" wrapText="1"/>
    </xf>
    <xf numFmtId="0" fontId="33" fillId="33" borderId="77" xfId="0" applyFont="1" applyFill="1" applyBorder="1" applyAlignment="1">
      <alignment horizontal="center" vertical="center" wrapText="1"/>
    </xf>
    <xf numFmtId="0" fontId="33" fillId="33" borderId="84" xfId="0" applyFont="1" applyFill="1" applyBorder="1" applyAlignment="1">
      <alignment horizontal="center" vertical="center" wrapText="1"/>
    </xf>
    <xf numFmtId="0" fontId="55" fillId="28" borderId="11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3" fontId="33" fillId="4" borderId="110" xfId="0" applyNumberFormat="1" applyFont="1" applyFill="1" applyBorder="1" applyAlignment="1">
      <alignment horizontal="center" vertical="center" wrapText="1"/>
    </xf>
    <xf numFmtId="3" fontId="33" fillId="4" borderId="11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right"/>
    </xf>
    <xf numFmtId="170" fontId="6" fillId="15" borderId="113" xfId="0" applyNumberFormat="1" applyFont="1" applyFill="1" applyBorder="1" applyAlignment="1">
      <alignment horizontal="center" vertical="center"/>
    </xf>
    <xf numFmtId="0" fontId="0" fillId="0" borderId="117" xfId="0" applyBorder="1" applyAlignment="1">
      <alignment horizontal="left"/>
    </xf>
    <xf numFmtId="49" fontId="6" fillId="15" borderId="113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27">
    <cellStyle name="calcul1" xfId="6"/>
    <cellStyle name="Euro" xfId="1"/>
    <cellStyle name="Euro 2" xfId="7"/>
    <cellStyle name="Euro 2 2" xfId="8"/>
    <cellStyle name="Lien hypertexte 2" xfId="9"/>
    <cellStyle name="Milliers 2" xfId="10"/>
    <cellStyle name="Milliers 2 2" xfId="11"/>
    <cellStyle name="Milliers 3" xfId="12"/>
    <cellStyle name="Milliers 3 2" xfId="13"/>
    <cellStyle name="Milliers 4" xfId="14"/>
    <cellStyle name="Monétaire 2" xfId="15"/>
    <cellStyle name="Monétaire 2 2" xfId="16"/>
    <cellStyle name="Monétaire 3" xfId="17"/>
    <cellStyle name="Normal" xfId="0" builtinId="0"/>
    <cellStyle name="Normal 2" xfId="2"/>
    <cellStyle name="Normal 2 2" xfId="18"/>
    <cellStyle name="Normal 3" xfId="19"/>
    <cellStyle name="Pourcentage" xfId="3" builtinId="5"/>
    <cellStyle name="Pourcentage 2" xfId="20"/>
    <cellStyle name="Pourcentage 2 2" xfId="21"/>
    <cellStyle name="Pourcentage 3" xfId="22"/>
    <cellStyle name="Pourcentage 3 2" xfId="23"/>
    <cellStyle name="Pourcentage 4" xfId="24"/>
    <cellStyle name="Résultat" xfId="25"/>
    <cellStyle name="Texte explicatif" xfId="4" builtinId="53"/>
    <cellStyle name="Texte explicatif 2" xfId="5"/>
    <cellStyle name="Total 2" xfId="26"/>
  </cellStyles>
  <dxfs count="21">
    <dxf>
      <font>
        <strike val="0"/>
        <sz val="10"/>
        <name val="Arial"/>
      </font>
      <fill>
        <patternFill patternType="none">
          <bgColor auto="1"/>
        </patternFill>
      </fill>
    </dxf>
    <dxf>
      <font>
        <b val="0"/>
        <i val="0"/>
        <strike val="0"/>
        <u val="none"/>
        <sz val="10"/>
        <name val="Arial"/>
      </font>
      <fill>
        <patternFill>
          <bgColor rgb="FFFFC000"/>
        </patternFill>
      </fill>
    </dxf>
    <dxf>
      <font>
        <strike val="0"/>
        <sz val="10"/>
        <color rgb="FF000000"/>
        <name val="Arial"/>
      </font>
      <fill>
        <patternFill>
          <bgColor rgb="FF92D050"/>
        </patternFill>
      </fill>
    </dxf>
    <dxf>
      <font>
        <sz val="10"/>
        <name val="Arial"/>
      </font>
      <fill>
        <patternFill>
          <bgColor rgb="FFFF0000"/>
        </patternFill>
      </fill>
    </dxf>
    <dxf>
      <font>
        <b/>
        <i/>
        <u/>
        <sz val="10"/>
        <name val="Arial"/>
      </font>
    </dxf>
    <dxf>
      <font>
        <sz val="10"/>
        <color rgb="FF000000"/>
        <name val="Arial"/>
      </font>
      <fill>
        <patternFill>
          <bgColor rgb="FFFF3333"/>
        </patternFill>
      </fill>
    </dxf>
    <dxf>
      <font>
        <sz val="10"/>
        <name val="Arial"/>
      </font>
      <fill>
        <patternFill>
          <bgColor rgb="FFFF0000"/>
        </patternFill>
      </fill>
    </dxf>
    <dxf>
      <font>
        <b/>
        <i/>
        <u/>
        <sz val="10"/>
        <name val="Arial"/>
      </font>
    </dxf>
    <dxf>
      <font>
        <sz val="10"/>
        <color rgb="FF000000"/>
        <name val="Arial"/>
      </font>
      <fill>
        <patternFill>
          <bgColor rgb="FFFF3333"/>
        </patternFill>
      </fill>
    </dxf>
    <dxf>
      <font>
        <sz val="10"/>
        <name val="Arial"/>
      </font>
      <fill>
        <patternFill>
          <bgColor rgb="FFFF0000"/>
        </patternFill>
      </fill>
    </dxf>
    <dxf>
      <font>
        <b/>
        <i/>
        <u/>
        <sz val="10"/>
        <name val="Arial"/>
      </font>
    </dxf>
    <dxf>
      <font>
        <sz val="10"/>
        <color rgb="FF000000"/>
        <name val="Arial"/>
      </font>
      <fill>
        <patternFill>
          <bgColor rgb="FFFF3333"/>
        </patternFill>
      </fill>
    </dxf>
    <dxf>
      <font>
        <sz val="10"/>
        <name val="Arial"/>
      </font>
      <fill>
        <patternFill>
          <bgColor rgb="FFFF0000"/>
        </patternFill>
      </fill>
    </dxf>
    <dxf>
      <font>
        <b/>
        <i/>
        <u/>
        <sz val="10"/>
        <name val="Arial"/>
      </font>
    </dxf>
    <dxf>
      <font>
        <sz val="10"/>
        <color rgb="FF000000"/>
        <name val="Arial"/>
      </font>
      <fill>
        <patternFill>
          <bgColor rgb="FFFF3333"/>
        </patternFill>
      </fill>
    </dxf>
    <dxf>
      <font>
        <sz val="10"/>
        <name val="Arial"/>
      </font>
      <fill>
        <patternFill>
          <bgColor rgb="FFFF0000"/>
        </patternFill>
      </fill>
    </dxf>
    <dxf>
      <font>
        <b/>
        <i/>
        <u/>
        <sz val="10"/>
        <name val="Arial"/>
      </font>
    </dxf>
    <dxf>
      <font>
        <sz val="10"/>
        <color rgb="FF000000"/>
        <name val="Arial"/>
      </font>
      <fill>
        <patternFill>
          <bgColor rgb="FFFF3333"/>
        </patternFill>
      </fill>
    </dxf>
    <dxf>
      <font>
        <sz val="10"/>
        <name val="Arial"/>
      </font>
      <fill>
        <patternFill>
          <bgColor rgb="FFFF0000"/>
        </patternFill>
      </fill>
    </dxf>
    <dxf>
      <font>
        <b/>
        <i/>
        <u/>
        <sz val="10"/>
        <name val="Arial"/>
      </font>
    </dxf>
    <dxf>
      <font>
        <sz val="10"/>
        <color rgb="FF000000"/>
        <name val="Arial"/>
      </font>
      <fill>
        <patternFill>
          <bgColor rgb="FFFF333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436300"/>
      <color rgb="FF86C700"/>
      <color rgb="FF353EFF"/>
      <color rgb="FF179DAB"/>
      <color rgb="FF17FFFF"/>
      <color rgb="FFC40054"/>
      <color rgb="FF83030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99687398625737"/>
          <c:y val="9.2369730892072205E-2"/>
          <c:w val="0.51591804535668995"/>
          <c:h val="0.87534085950099616"/>
        </c:manualLayout>
      </c:layout>
      <c:radarChart>
        <c:radarStyle val="filled"/>
        <c:varyColors val="0"/>
        <c:ser>
          <c:idx val="0"/>
          <c:order val="0"/>
          <c:tx>
            <c:strRef>
              <c:f>économique!$A$26</c:f>
              <c:strCache>
                <c:ptCount val="1"/>
                <c:pt idx="0">
                  <c:v>NOTE</c:v>
                </c:pt>
              </c:strCache>
            </c:strRef>
          </c:tx>
          <c:spPr>
            <a:solidFill>
              <a:srgbClr val="C40054"/>
            </a:solidFill>
            <a:ln w="34925">
              <a:solidFill>
                <a:srgbClr val="83030C"/>
              </a:solidFill>
              <a:prstDash val="solid"/>
            </a:ln>
            <a:effectLst/>
          </c:spPr>
          <c:cat>
            <c:strRef>
              <c:f>économique!$B$17:$H$17</c:f>
              <c:strCache>
                <c:ptCount val="7"/>
                <c:pt idx="0">
                  <c:v>Efficacité économique</c:v>
                </c:pt>
                <c:pt idx="1">
                  <c:v>Autonomie                         économique</c:v>
                </c:pt>
                <c:pt idx="2">
                  <c:v>Autonomie financière</c:v>
                </c:pt>
                <c:pt idx="3">
                  <c:v>Efficacité du capital</c:v>
                </c:pt>
                <c:pt idx="4">
                  <c:v>Rémunération du travail</c:v>
                </c:pt>
                <c:pt idx="5">
                  <c:v>Vulnérabilité commerciale</c:v>
                </c:pt>
                <c:pt idx="6">
                  <c:v>Sensibilité aux aides</c:v>
                </c:pt>
              </c:strCache>
            </c:strRef>
          </c:cat>
          <c:val>
            <c:numRef>
              <c:f>économique!$B$26:$H$26</c:f>
              <c:numCache>
                <c:formatCode>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841920"/>
        <c:axId val="161843456"/>
      </c:radarChart>
      <c:catAx>
        <c:axId val="16184192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843456"/>
        <c:crossesAt val="0"/>
        <c:auto val="0"/>
        <c:lblAlgn val="ctr"/>
        <c:lblOffset val="100"/>
        <c:noMultiLvlLbl val="0"/>
      </c:catAx>
      <c:valAx>
        <c:axId val="161843456"/>
        <c:scaling>
          <c:orientation val="minMax"/>
          <c:max val="5"/>
        </c:scaling>
        <c:delete val="0"/>
        <c:axPos val="l"/>
        <c:numFmt formatCode="0" sourceLinked="0"/>
        <c:majorTickMark val="cross"/>
        <c:minorTickMark val="cross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841920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927758877141581"/>
          <c:y val="8.2959888837424736E-2"/>
          <c:w val="0.44380702718157788"/>
          <c:h val="0.85315374401729205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179DAB"/>
            </a:solidFill>
            <a:ln w="34925">
              <a:solidFill>
                <a:srgbClr val="353EFF"/>
              </a:solidFill>
              <a:prstDash val="solid"/>
            </a:ln>
          </c:spPr>
          <c:cat>
            <c:strRef>
              <c:f>social!$B$11:$H$11</c:f>
              <c:strCache>
                <c:ptCount val="7"/>
                <c:pt idx="0">
                  <c:v>Vivabilité</c:v>
                </c:pt>
                <c:pt idx="1">
                  <c:v>Efficacité du travail</c:v>
                </c:pt>
                <c:pt idx="2">
                  <c:v>Viabilité socio-économique</c:v>
                </c:pt>
                <c:pt idx="3">
                  <c:v>Transmissibilité</c:v>
                </c:pt>
                <c:pt idx="4">
                  <c:v>Ancrage territorial</c:v>
                </c:pt>
                <c:pt idx="5">
                  <c:v>Rémunération dégagée par hectare</c:v>
                </c:pt>
                <c:pt idx="6">
                  <c:v>Empreinte foncière</c:v>
                </c:pt>
              </c:strCache>
            </c:strRef>
          </c:cat>
          <c:val>
            <c:numRef>
              <c:f>social!$B$20:$H$20</c:f>
              <c:numCache>
                <c:formatCode>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167040"/>
        <c:axId val="162197504"/>
      </c:radarChart>
      <c:catAx>
        <c:axId val="1621670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2197504"/>
        <c:crossesAt val="0"/>
        <c:auto val="0"/>
        <c:lblAlgn val="ctr"/>
        <c:lblOffset val="100"/>
        <c:noMultiLvlLbl val="0"/>
      </c:catAx>
      <c:valAx>
        <c:axId val="162197504"/>
        <c:scaling>
          <c:orientation val="minMax"/>
          <c:max val="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2167040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028319989413088"/>
          <c:y val="7.8157072471204264E-2"/>
          <c:w val="0.49427909746575793"/>
          <c:h val="0.8844994375703036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86C700"/>
            </a:solidFill>
            <a:ln w="34925">
              <a:solidFill>
                <a:srgbClr val="436300"/>
              </a:solidFill>
              <a:prstDash val="solid"/>
            </a:ln>
          </c:spPr>
          <c:cat>
            <c:strRef>
              <c:f>environnement!$B$10:$H$10</c:f>
              <c:strCache>
                <c:ptCount val="7"/>
                <c:pt idx="0">
                  <c:v>Bilan des minéraux</c:v>
                </c:pt>
                <c:pt idx="1">
                  <c:v>Pesticides </c:v>
                </c:pt>
                <c:pt idx="2">
                  <c:v>Biodiversité</c:v>
                </c:pt>
                <c:pt idx="3">
                  <c:v>Linéaire de haies</c:v>
                </c:pt>
                <c:pt idx="4">
                  <c:v>Gestion des sols</c:v>
                </c:pt>
                <c:pt idx="5">
                  <c:v>Dépendance énergétique</c:v>
                </c:pt>
                <c:pt idx="6">
                  <c:v>Contribution au réchauffement climatique</c:v>
                </c:pt>
              </c:strCache>
            </c:strRef>
          </c:cat>
          <c:val>
            <c:numRef>
              <c:f>environnement!$B$19:$H$19</c:f>
              <c:numCache>
                <c:formatCode>General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80896"/>
        <c:axId val="162482432"/>
      </c:radarChart>
      <c:catAx>
        <c:axId val="162480896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2482432"/>
        <c:crossesAt val="0"/>
        <c:auto val="0"/>
        <c:lblAlgn val="ctr"/>
        <c:lblOffset val="100"/>
        <c:noMultiLvlLbl val="0"/>
      </c:catAx>
      <c:valAx>
        <c:axId val="162482432"/>
        <c:scaling>
          <c:orientation val="minMax"/>
          <c:max val="5"/>
          <c:min val="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248089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1200150</xdr:colOff>
      <xdr:row>2</xdr:row>
      <xdr:rowOff>279309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114425" cy="1288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1406769</xdr:colOff>
      <xdr:row>1</xdr:row>
      <xdr:rowOff>93563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6769" cy="16270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1108491</xdr:colOff>
      <xdr:row>3</xdr:row>
      <xdr:rowOff>121226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08490" cy="13309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1406769</xdr:colOff>
      <xdr:row>1</xdr:row>
      <xdr:rowOff>69470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6769" cy="16270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11</xdr:row>
      <xdr:rowOff>85725</xdr:rowOff>
    </xdr:from>
    <xdr:to>
      <xdr:col>6</xdr:col>
      <xdr:colOff>276225</xdr:colOff>
      <xdr:row>13</xdr:row>
      <xdr:rowOff>114300</xdr:rowOff>
    </xdr:to>
    <xdr:sp macro="" textlink="">
      <xdr:nvSpPr>
        <xdr:cNvPr id="1603" name="Oval 36"/>
        <xdr:cNvSpPr>
          <a:spLocks noChangeArrowheads="1"/>
        </xdr:cNvSpPr>
      </xdr:nvSpPr>
      <xdr:spPr bwMode="auto">
        <a:xfrm>
          <a:off x="1076325" y="2000250"/>
          <a:ext cx="4286250" cy="533400"/>
        </a:xfrm>
        <a:prstGeom prst="ellipse">
          <a:avLst/>
        </a:prstGeom>
        <a:noFill/>
        <a:ln w="1728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231060</xdr:colOff>
      <xdr:row>0</xdr:row>
      <xdr:rowOff>0</xdr:rowOff>
    </xdr:from>
    <xdr:to>
      <xdr:col>8</xdr:col>
      <xdr:colOff>9526</xdr:colOff>
      <xdr:row>9</xdr:row>
      <xdr:rowOff>115957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0017" y="0"/>
          <a:ext cx="1468118" cy="1739348"/>
        </a:xfrm>
        <a:prstGeom prst="rect">
          <a:avLst/>
        </a:prstGeom>
      </xdr:spPr>
    </xdr:pic>
    <xdr:clientData/>
  </xdr:twoCellAnchor>
  <xdr:twoCellAnchor>
    <xdr:from>
      <xdr:col>0</xdr:col>
      <xdr:colOff>24848</xdr:colOff>
      <xdr:row>26</xdr:row>
      <xdr:rowOff>41413</xdr:rowOff>
    </xdr:from>
    <xdr:to>
      <xdr:col>8</xdr:col>
      <xdr:colOff>48039</xdr:colOff>
      <xdr:row>47</xdr:row>
      <xdr:rowOff>151157</xdr:rowOff>
    </xdr:to>
    <xdr:graphicFrame macro="">
      <xdr:nvGraphicFramePr>
        <xdr:cNvPr id="8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47625</xdr:rowOff>
    </xdr:from>
    <xdr:to>
      <xdr:col>7</xdr:col>
      <xdr:colOff>914400</xdr:colOff>
      <xdr:row>45</xdr:row>
      <xdr:rowOff>47625</xdr:rowOff>
    </xdr:to>
    <xdr:graphicFrame macro="">
      <xdr:nvGraphicFramePr>
        <xdr:cNvPr id="249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981075</xdr:colOff>
      <xdr:row>5</xdr:row>
      <xdr:rowOff>85725</xdr:rowOff>
    </xdr:from>
    <xdr:to>
      <xdr:col>6</xdr:col>
      <xdr:colOff>200025</xdr:colOff>
      <xdr:row>7</xdr:row>
      <xdr:rowOff>161925</xdr:rowOff>
    </xdr:to>
    <xdr:sp macro="" textlink="">
      <xdr:nvSpPr>
        <xdr:cNvPr id="2497" name="Oval 4"/>
        <xdr:cNvSpPr>
          <a:spLocks noChangeArrowheads="1"/>
        </xdr:cNvSpPr>
      </xdr:nvSpPr>
      <xdr:spPr bwMode="auto">
        <a:xfrm>
          <a:off x="1990725" y="1028700"/>
          <a:ext cx="4038600" cy="647700"/>
        </a:xfrm>
        <a:prstGeom prst="ellipse">
          <a:avLst/>
        </a:prstGeom>
        <a:noFill/>
        <a:ln w="1728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647700</xdr:colOff>
      <xdr:row>0</xdr:row>
      <xdr:rowOff>0</xdr:rowOff>
    </xdr:from>
    <xdr:to>
      <xdr:col>8</xdr:col>
      <xdr:colOff>16119</xdr:colOff>
      <xdr:row>7</xdr:row>
      <xdr:rowOff>112613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0"/>
          <a:ext cx="1406769" cy="1627088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0.2822</cdr:x>
      <cdr:y>0.78873</cdr:y>
    </cdr:from>
    <cdr:to>
      <cdr:x>0.28458</cdr:x>
      <cdr:y>0.82739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6054" y="3192869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0.2822</cdr:x>
      <cdr:y>0.78873</cdr:y>
    </cdr:from>
    <cdr:to>
      <cdr:x>0.28458</cdr:x>
      <cdr:y>0.82739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6054" y="3192869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19</xdr:row>
      <xdr:rowOff>142875</xdr:rowOff>
    </xdr:from>
    <xdr:to>
      <xdr:col>7</xdr:col>
      <xdr:colOff>981075</xdr:colOff>
      <xdr:row>43</xdr:row>
      <xdr:rowOff>47625</xdr:rowOff>
    </xdr:to>
    <xdr:graphicFrame macro="">
      <xdr:nvGraphicFramePr>
        <xdr:cNvPr id="343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619125</xdr:colOff>
      <xdr:row>5</xdr:row>
      <xdr:rowOff>19050</xdr:rowOff>
    </xdr:from>
    <xdr:to>
      <xdr:col>6</xdr:col>
      <xdr:colOff>638175</xdr:colOff>
      <xdr:row>6</xdr:row>
      <xdr:rowOff>152400</xdr:rowOff>
    </xdr:to>
    <xdr:sp macro="" textlink="">
      <xdr:nvSpPr>
        <xdr:cNvPr id="3434" name="Oval 2"/>
        <xdr:cNvSpPr>
          <a:spLocks noChangeArrowheads="1"/>
        </xdr:cNvSpPr>
      </xdr:nvSpPr>
      <xdr:spPr bwMode="auto">
        <a:xfrm>
          <a:off x="1466850" y="962025"/>
          <a:ext cx="4257675" cy="609600"/>
        </a:xfrm>
        <a:prstGeom prst="ellipse">
          <a:avLst/>
        </a:prstGeom>
        <a:noFill/>
        <a:ln w="1728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581025</xdr:colOff>
      <xdr:row>0</xdr:row>
      <xdr:rowOff>0</xdr:rowOff>
    </xdr:from>
    <xdr:to>
      <xdr:col>7</xdr:col>
      <xdr:colOff>993466</xdr:colOff>
      <xdr:row>7</xdr:row>
      <xdr:rowOff>26888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0"/>
          <a:ext cx="1406769" cy="16270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21</xdr:row>
      <xdr:rowOff>9525</xdr:rowOff>
    </xdr:from>
    <xdr:to>
      <xdr:col>7</xdr:col>
      <xdr:colOff>657225</xdr:colOff>
      <xdr:row>29</xdr:row>
      <xdr:rowOff>85725</xdr:rowOff>
    </xdr:to>
    <xdr:sp macro="" textlink="" fLocksText="0">
      <xdr:nvSpPr>
        <xdr:cNvPr id="4097" name="Texte 46"/>
        <xdr:cNvSpPr txBox="1">
          <a:spLocks noChangeArrowheads="1"/>
        </xdr:cNvSpPr>
      </xdr:nvSpPr>
      <xdr:spPr bwMode="auto">
        <a:xfrm>
          <a:off x="85725" y="4495800"/>
          <a:ext cx="5905500" cy="1371600"/>
        </a:xfrm>
        <a:prstGeom prst="rect">
          <a:avLst/>
        </a:prstGeom>
        <a:solidFill>
          <a:srgbClr val="FFFFFF"/>
        </a:solidFill>
        <a:ln w="1728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Autres remarques :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0</xdr:col>
      <xdr:colOff>85725</xdr:colOff>
      <xdr:row>31</xdr:row>
      <xdr:rowOff>9525</xdr:rowOff>
    </xdr:from>
    <xdr:to>
      <xdr:col>7</xdr:col>
      <xdr:colOff>628650</xdr:colOff>
      <xdr:row>48</xdr:row>
      <xdr:rowOff>19050</xdr:rowOff>
    </xdr:to>
    <xdr:sp macro="" textlink="" fLocksText="0">
      <xdr:nvSpPr>
        <xdr:cNvPr id="4098" name="Texte 47"/>
        <xdr:cNvSpPr txBox="1">
          <a:spLocks noChangeArrowheads="1"/>
        </xdr:cNvSpPr>
      </xdr:nvSpPr>
      <xdr:spPr bwMode="auto">
        <a:xfrm>
          <a:off x="85725" y="6115050"/>
          <a:ext cx="5876925" cy="2762250"/>
        </a:xfrm>
        <a:prstGeom prst="rect">
          <a:avLst/>
        </a:prstGeom>
        <a:solidFill>
          <a:srgbClr val="FFFFFF"/>
        </a:solidFill>
        <a:ln w="1728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Objectifs de l'agriculteur :</a:t>
          </a:r>
        </a:p>
        <a:p>
          <a:pPr algn="l" rtl="0">
            <a:defRPr sz="1000"/>
          </a:pPr>
          <a:r>
            <a:rPr lang="fr-FR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A court terme :</a:t>
          </a:r>
        </a:p>
        <a:p>
          <a:pPr algn="l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A long terme :</a:t>
          </a:r>
        </a:p>
      </xdr:txBody>
    </xdr:sp>
    <xdr:clientData/>
  </xdr:twoCellAnchor>
  <xdr:twoCellAnchor>
    <xdr:from>
      <xdr:col>0</xdr:col>
      <xdr:colOff>114300</xdr:colOff>
      <xdr:row>3</xdr:row>
      <xdr:rowOff>9525</xdr:rowOff>
    </xdr:from>
    <xdr:to>
      <xdr:col>3</xdr:col>
      <xdr:colOff>695325</xdr:colOff>
      <xdr:row>19</xdr:row>
      <xdr:rowOff>123825</xdr:rowOff>
    </xdr:to>
    <xdr:sp macro="" textlink="" fLocksText="0">
      <xdr:nvSpPr>
        <xdr:cNvPr id="4099" name="Texte 48"/>
        <xdr:cNvSpPr txBox="1">
          <a:spLocks noChangeArrowheads="1"/>
        </xdr:cNvSpPr>
      </xdr:nvSpPr>
      <xdr:spPr bwMode="auto">
        <a:xfrm>
          <a:off x="114300" y="1066800"/>
          <a:ext cx="2867025" cy="3219450"/>
        </a:xfrm>
        <a:prstGeom prst="rect">
          <a:avLst/>
        </a:prstGeom>
        <a:solidFill>
          <a:srgbClr val="FFFFFF"/>
        </a:solidFill>
        <a:ln w="1728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Atouts :</a:t>
          </a:r>
        </a:p>
      </xdr:txBody>
    </xdr:sp>
    <xdr:clientData/>
  </xdr:twoCellAnchor>
  <xdr:twoCellAnchor>
    <xdr:from>
      <xdr:col>2</xdr:col>
      <xdr:colOff>142875</xdr:colOff>
      <xdr:row>0</xdr:row>
      <xdr:rowOff>257175</xdr:rowOff>
    </xdr:from>
    <xdr:to>
      <xdr:col>5</xdr:col>
      <xdr:colOff>561975</xdr:colOff>
      <xdr:row>2</xdr:row>
      <xdr:rowOff>0</xdr:rowOff>
    </xdr:to>
    <xdr:sp macro="" textlink="">
      <xdr:nvSpPr>
        <xdr:cNvPr id="4727" name="Oval 4"/>
        <xdr:cNvSpPr>
          <a:spLocks noChangeArrowheads="1"/>
        </xdr:cNvSpPr>
      </xdr:nvSpPr>
      <xdr:spPr bwMode="auto">
        <a:xfrm>
          <a:off x="1666875" y="257175"/>
          <a:ext cx="2705100" cy="638175"/>
        </a:xfrm>
        <a:prstGeom prst="ellipse">
          <a:avLst/>
        </a:prstGeom>
        <a:noFill/>
        <a:ln w="1728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85725</xdr:colOff>
      <xdr:row>3</xdr:row>
      <xdr:rowOff>9525</xdr:rowOff>
    </xdr:from>
    <xdr:to>
      <xdr:col>7</xdr:col>
      <xdr:colOff>638175</xdr:colOff>
      <xdr:row>19</xdr:row>
      <xdr:rowOff>123825</xdr:rowOff>
    </xdr:to>
    <xdr:sp macro="" textlink="" fLocksText="0">
      <xdr:nvSpPr>
        <xdr:cNvPr id="4101" name="Texte 54"/>
        <xdr:cNvSpPr txBox="1">
          <a:spLocks noChangeArrowheads="1"/>
        </xdr:cNvSpPr>
      </xdr:nvSpPr>
      <xdr:spPr bwMode="auto">
        <a:xfrm>
          <a:off x="3133725" y="1066800"/>
          <a:ext cx="2838450" cy="3219450"/>
        </a:xfrm>
        <a:prstGeom prst="rect">
          <a:avLst/>
        </a:prstGeom>
        <a:solidFill>
          <a:srgbClr val="FFFFFF"/>
        </a:solidFill>
        <a:ln w="1728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Contraintes :</a:t>
          </a:r>
        </a:p>
      </xdr:txBody>
    </xdr:sp>
    <xdr:clientData/>
  </xdr:twoCellAnchor>
  <xdr:twoCellAnchor editAs="oneCell">
    <xdr:from>
      <xdr:col>6</xdr:col>
      <xdr:colOff>533400</xdr:colOff>
      <xdr:row>0</xdr:row>
      <xdr:rowOff>0</xdr:rowOff>
    </xdr:from>
    <xdr:to>
      <xdr:col>7</xdr:col>
      <xdr:colOff>711444</xdr:colOff>
      <xdr:row>3</xdr:row>
      <xdr:rowOff>29993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0"/>
          <a:ext cx="940044" cy="1087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I/AppData/Local/Temp/Bilan_apparent_V_3.0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Calcul"/>
      <sheetName val="Sources"/>
      <sheetName val="Feuil3"/>
    </sheetNames>
    <sheetDataSet>
      <sheetData sheetId="0" refreshError="1"/>
      <sheetData sheetId="1">
        <row r="4">
          <cell r="A4">
            <v>0</v>
          </cell>
        </row>
        <row r="5">
          <cell r="A5">
            <v>1</v>
          </cell>
        </row>
        <row r="6">
          <cell r="A6">
            <v>2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1">
          <cell r="A11" t="str">
            <v>Autres</v>
          </cell>
        </row>
        <row r="12">
          <cell r="A12" t="str">
            <v>*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calculette-ift.fr/" TargetMode="External"/><Relationship Id="rId1" Type="http://schemas.openxmlformats.org/officeDocument/2006/relationships/hyperlink" Target="https://ephy.anses.fr/recherche_avancee/ppp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</sheetPr>
  <dimension ref="A1:H57"/>
  <sheetViews>
    <sheetView tabSelected="1" zoomScale="115" zoomScaleNormal="115" workbookViewId="0">
      <selection activeCell="D51" sqref="D51"/>
    </sheetView>
  </sheetViews>
  <sheetFormatPr baseColWidth="10" defaultRowHeight="12.75" x14ac:dyDescent="0.2"/>
  <cols>
    <col min="1" max="1" width="34" customWidth="1"/>
    <col min="2" max="2" width="19.42578125" customWidth="1"/>
    <col min="3" max="3" width="19.28515625" customWidth="1"/>
    <col min="4" max="4" width="19.5703125" customWidth="1"/>
    <col min="6" max="6" width="15" customWidth="1"/>
    <col min="7" max="7" width="16" customWidth="1"/>
  </cols>
  <sheetData>
    <row r="1" spans="1:8" ht="66.75" customHeight="1" x14ac:dyDescent="0.2">
      <c r="B1" s="505" t="s">
        <v>528</v>
      </c>
      <c r="C1" s="505"/>
      <c r="D1" s="505"/>
      <c r="E1" s="505"/>
      <c r="F1" s="505"/>
      <c r="G1" s="505"/>
      <c r="H1" s="505"/>
    </row>
    <row r="3" spans="1:8" ht="33" customHeight="1" thickBot="1" x14ac:dyDescent="0.25">
      <c r="A3" s="83"/>
      <c r="B3" s="84" t="s">
        <v>681</v>
      </c>
      <c r="C3" s="84" t="s">
        <v>675</v>
      </c>
      <c r="D3" s="85" t="s">
        <v>87</v>
      </c>
      <c r="F3" s="498" t="s">
        <v>157</v>
      </c>
      <c r="G3" s="498"/>
    </row>
    <row r="4" spans="1:8" x14ac:dyDescent="0.2">
      <c r="A4" s="101" t="s">
        <v>50</v>
      </c>
      <c r="B4" s="102"/>
      <c r="C4" s="103"/>
      <c r="D4" s="109">
        <f>SUM(D5:D17)</f>
        <v>0</v>
      </c>
      <c r="F4" s="408" t="s">
        <v>158</v>
      </c>
      <c r="G4" s="409"/>
    </row>
    <row r="5" spans="1:8" x14ac:dyDescent="0.2">
      <c r="A5" s="86" t="s">
        <v>57</v>
      </c>
      <c r="B5" s="173"/>
      <c r="C5" s="410">
        <v>8</v>
      </c>
      <c r="D5" s="100">
        <f>B5/C5</f>
        <v>0</v>
      </c>
      <c r="F5" s="179" t="s">
        <v>159</v>
      </c>
      <c r="G5" s="179"/>
    </row>
    <row r="6" spans="1:8" x14ac:dyDescent="0.2">
      <c r="A6" s="86" t="s">
        <v>58</v>
      </c>
      <c r="B6" s="173"/>
      <c r="C6" s="411">
        <v>10</v>
      </c>
      <c r="D6" s="100">
        <f t="shared" ref="D6:D17" si="0">B6/C6</f>
        <v>0</v>
      </c>
      <c r="F6" s="180" t="s">
        <v>161</v>
      </c>
      <c r="G6" s="180"/>
    </row>
    <row r="7" spans="1:8" x14ac:dyDescent="0.2">
      <c r="A7" s="86" t="s">
        <v>59</v>
      </c>
      <c r="B7" s="173"/>
      <c r="C7" s="411">
        <v>14</v>
      </c>
      <c r="D7" s="100">
        <f t="shared" si="0"/>
        <v>0</v>
      </c>
      <c r="E7" s="418"/>
    </row>
    <row r="8" spans="1:8" ht="13.5" thickBot="1" x14ac:dyDescent="0.25">
      <c r="A8" s="86" t="s">
        <v>60</v>
      </c>
      <c r="B8" s="173"/>
      <c r="C8" s="411">
        <v>8</v>
      </c>
      <c r="D8" s="100">
        <f t="shared" si="0"/>
        <v>0</v>
      </c>
    </row>
    <row r="9" spans="1:8" x14ac:dyDescent="0.2">
      <c r="A9" s="86" t="s">
        <v>61</v>
      </c>
      <c r="B9" s="173"/>
      <c r="C9" s="411">
        <v>8</v>
      </c>
      <c r="D9" s="100">
        <f t="shared" si="0"/>
        <v>0</v>
      </c>
      <c r="F9" s="512" t="s">
        <v>88</v>
      </c>
      <c r="G9" s="513"/>
      <c r="H9" s="514"/>
    </row>
    <row r="10" spans="1:8" x14ac:dyDescent="0.2">
      <c r="A10" s="86" t="s">
        <v>62</v>
      </c>
      <c r="B10" s="445"/>
      <c r="C10" s="411">
        <v>12.525</v>
      </c>
      <c r="D10" s="100">
        <f t="shared" si="0"/>
        <v>0</v>
      </c>
      <c r="F10" s="506"/>
      <c r="G10" s="507"/>
      <c r="H10" s="515"/>
    </row>
    <row r="11" spans="1:8" x14ac:dyDescent="0.2">
      <c r="A11" s="86" t="s">
        <v>63</v>
      </c>
      <c r="B11" s="173"/>
      <c r="C11" s="411">
        <v>92</v>
      </c>
      <c r="D11" s="100">
        <f t="shared" si="0"/>
        <v>0</v>
      </c>
      <c r="F11" s="506" t="s">
        <v>89</v>
      </c>
      <c r="G11" s="507"/>
      <c r="H11" s="510">
        <f>D4+D18+D27+D39+D48</f>
        <v>0</v>
      </c>
    </row>
    <row r="12" spans="1:8" x14ac:dyDescent="0.2">
      <c r="A12" s="86" t="s">
        <v>64</v>
      </c>
      <c r="B12" s="173"/>
      <c r="C12" s="411">
        <v>43.5</v>
      </c>
      <c r="D12" s="100">
        <f t="shared" si="0"/>
        <v>0</v>
      </c>
      <c r="F12" s="506"/>
      <c r="G12" s="507"/>
      <c r="H12" s="510"/>
    </row>
    <row r="13" spans="1:8" ht="12.75" customHeight="1" x14ac:dyDescent="0.2">
      <c r="A13" s="86" t="s">
        <v>65</v>
      </c>
      <c r="B13" s="173"/>
      <c r="C13" s="411">
        <v>3.1</v>
      </c>
      <c r="D13" s="100">
        <f t="shared" si="0"/>
        <v>0</v>
      </c>
      <c r="F13" s="506" t="s">
        <v>542</v>
      </c>
      <c r="G13" s="507"/>
      <c r="H13" s="510">
        <f>H9+H11</f>
        <v>0</v>
      </c>
    </row>
    <row r="14" spans="1:8" ht="13.5" customHeight="1" thickBot="1" x14ac:dyDescent="0.25">
      <c r="A14" s="86" t="s">
        <v>66</v>
      </c>
      <c r="B14" s="173"/>
      <c r="C14" s="411">
        <v>2</v>
      </c>
      <c r="D14" s="100">
        <f t="shared" si="0"/>
        <v>0</v>
      </c>
      <c r="F14" s="508"/>
      <c r="G14" s="509"/>
      <c r="H14" s="511"/>
    </row>
    <row r="15" spans="1:8" x14ac:dyDescent="0.2">
      <c r="A15" s="86" t="s">
        <v>51</v>
      </c>
      <c r="B15" s="173"/>
      <c r="C15" s="411">
        <v>37.037037037037038</v>
      </c>
      <c r="D15" s="100">
        <f t="shared" si="0"/>
        <v>0</v>
      </c>
      <c r="F15" s="499" t="s">
        <v>529</v>
      </c>
      <c r="G15" s="500"/>
      <c r="H15" s="503" t="str">
        <f>IF(H9=0,"",H13/H9)</f>
        <v/>
      </c>
    </row>
    <row r="16" spans="1:8" ht="13.5" thickBot="1" x14ac:dyDescent="0.25">
      <c r="A16" s="86" t="s">
        <v>52</v>
      </c>
      <c r="B16" s="173"/>
      <c r="C16" s="411">
        <v>31.496062992125985</v>
      </c>
      <c r="D16" s="100">
        <f t="shared" si="0"/>
        <v>0</v>
      </c>
      <c r="F16" s="501"/>
      <c r="G16" s="502"/>
      <c r="H16" s="504"/>
    </row>
    <row r="17" spans="1:5" ht="13.5" thickBot="1" x14ac:dyDescent="0.25">
      <c r="A17" s="86" t="s">
        <v>53</v>
      </c>
      <c r="B17" s="173"/>
      <c r="C17" s="411">
        <v>28.571428571428569</v>
      </c>
      <c r="D17" s="100">
        <f t="shared" si="0"/>
        <v>0</v>
      </c>
    </row>
    <row r="18" spans="1:5" x14ac:dyDescent="0.2">
      <c r="A18" s="104" t="s">
        <v>54</v>
      </c>
      <c r="B18" s="105"/>
      <c r="C18" s="412"/>
      <c r="D18" s="109">
        <f>SUM(D19:D26)</f>
        <v>0</v>
      </c>
    </row>
    <row r="19" spans="1:5" x14ac:dyDescent="0.2">
      <c r="A19" s="86" t="s">
        <v>67</v>
      </c>
      <c r="B19" s="173"/>
      <c r="C19" s="410">
        <v>7.1537500000000005</v>
      </c>
      <c r="D19" s="100">
        <f>B19/C19</f>
        <v>0</v>
      </c>
    </row>
    <row r="20" spans="1:5" x14ac:dyDescent="0.2">
      <c r="A20" s="86" t="s">
        <v>68</v>
      </c>
      <c r="B20" s="173"/>
      <c r="C20" s="411">
        <v>4.6624999999999996</v>
      </c>
      <c r="D20" s="100">
        <f t="shared" ref="D20:D26" si="1">B20/C20</f>
        <v>0</v>
      </c>
    </row>
    <row r="21" spans="1:5" x14ac:dyDescent="0.2">
      <c r="A21" s="86" t="s">
        <v>69</v>
      </c>
      <c r="B21" s="173"/>
      <c r="C21" s="411">
        <v>5.1056249999999999</v>
      </c>
      <c r="D21" s="100">
        <f t="shared" si="1"/>
        <v>0</v>
      </c>
    </row>
    <row r="22" spans="1:5" x14ac:dyDescent="0.2">
      <c r="A22" s="86" t="s">
        <v>70</v>
      </c>
      <c r="B22" s="173"/>
      <c r="C22" s="411">
        <v>4.4606249999999994</v>
      </c>
      <c r="D22" s="100">
        <f t="shared" si="1"/>
        <v>0</v>
      </c>
    </row>
    <row r="23" spans="1:5" x14ac:dyDescent="0.2">
      <c r="A23" s="86" t="s">
        <v>71</v>
      </c>
      <c r="B23" s="173"/>
      <c r="C23" s="411">
        <v>6.2337499999999997</v>
      </c>
      <c r="D23" s="100">
        <f t="shared" si="1"/>
        <v>0</v>
      </c>
    </row>
    <row r="24" spans="1:5" x14ac:dyDescent="0.2">
      <c r="A24" s="86" t="s">
        <v>72</v>
      </c>
      <c r="B24" s="173"/>
      <c r="C24" s="411">
        <v>8.6337500000000009</v>
      </c>
      <c r="D24" s="100">
        <f t="shared" si="1"/>
        <v>0</v>
      </c>
    </row>
    <row r="25" spans="1:5" x14ac:dyDescent="0.2">
      <c r="A25" s="86" t="s">
        <v>73</v>
      </c>
      <c r="B25" s="173"/>
      <c r="C25" s="411">
        <v>4.5974999999999993</v>
      </c>
      <c r="D25" s="100">
        <f t="shared" si="1"/>
        <v>0</v>
      </c>
    </row>
    <row r="26" spans="1:5" ht="13.5" thickBot="1" x14ac:dyDescent="0.25">
      <c r="A26" s="86" t="s">
        <v>74</v>
      </c>
      <c r="B26" s="173"/>
      <c r="C26" s="413">
        <v>5.7206249999999992</v>
      </c>
      <c r="D26" s="100">
        <f t="shared" si="1"/>
        <v>0</v>
      </c>
    </row>
    <row r="27" spans="1:5" x14ac:dyDescent="0.2">
      <c r="A27" s="106" t="s">
        <v>55</v>
      </c>
      <c r="B27" s="107"/>
      <c r="C27" s="414"/>
      <c r="D27" s="109">
        <f>SUM(D28:D38)</f>
        <v>0</v>
      </c>
    </row>
    <row r="28" spans="1:5" x14ac:dyDescent="0.2">
      <c r="A28" s="87" t="s">
        <v>75</v>
      </c>
      <c r="B28" s="173"/>
      <c r="C28" s="415">
        <v>1.9830000000000001</v>
      </c>
      <c r="D28" s="100">
        <f>B28/C28</f>
        <v>0</v>
      </c>
    </row>
    <row r="29" spans="1:5" x14ac:dyDescent="0.2">
      <c r="A29" s="87" t="s">
        <v>76</v>
      </c>
      <c r="B29" s="173"/>
      <c r="C29" s="416">
        <v>0.99150000000000005</v>
      </c>
      <c r="D29" s="100">
        <f t="shared" ref="D29:D38" si="2">B29/C29</f>
        <v>0</v>
      </c>
    </row>
    <row r="30" spans="1:5" x14ac:dyDescent="0.2">
      <c r="A30" s="87" t="s">
        <v>77</v>
      </c>
      <c r="B30" s="173"/>
      <c r="C30" s="416">
        <v>3.8010000000000002</v>
      </c>
      <c r="D30" s="100">
        <f t="shared" si="2"/>
        <v>0</v>
      </c>
      <c r="E30" s="418"/>
    </row>
    <row r="31" spans="1:5" x14ac:dyDescent="0.2">
      <c r="A31" s="87" t="s">
        <v>78</v>
      </c>
      <c r="B31" s="173"/>
      <c r="C31" s="416">
        <v>2.524</v>
      </c>
      <c r="D31" s="100">
        <f t="shared" si="2"/>
        <v>0</v>
      </c>
    </row>
    <row r="32" spans="1:5" x14ac:dyDescent="0.2">
      <c r="A32" s="87" t="s">
        <v>79</v>
      </c>
      <c r="B32" s="173"/>
      <c r="C32" s="416">
        <v>4.2089999999999996</v>
      </c>
      <c r="D32" s="100">
        <f t="shared" si="2"/>
        <v>0</v>
      </c>
    </row>
    <row r="33" spans="1:4" x14ac:dyDescent="0.2">
      <c r="A33" s="87" t="s">
        <v>80</v>
      </c>
      <c r="B33" s="173"/>
      <c r="C33" s="416">
        <v>2.6019999999999999</v>
      </c>
      <c r="D33" s="100">
        <f t="shared" si="2"/>
        <v>0</v>
      </c>
    </row>
    <row r="34" spans="1:4" x14ac:dyDescent="0.2">
      <c r="A34" s="87" t="s">
        <v>81</v>
      </c>
      <c r="B34" s="173"/>
      <c r="C34" s="416">
        <v>2.16</v>
      </c>
      <c r="D34" s="100">
        <f t="shared" si="2"/>
        <v>0</v>
      </c>
    </row>
    <row r="35" spans="1:4" x14ac:dyDescent="0.2">
      <c r="A35" s="87" t="s">
        <v>82</v>
      </c>
      <c r="B35" s="173"/>
      <c r="C35" s="416">
        <v>3.2759999999999998</v>
      </c>
      <c r="D35" s="100">
        <f t="shared" si="2"/>
        <v>0</v>
      </c>
    </row>
    <row r="36" spans="1:4" x14ac:dyDescent="0.2">
      <c r="A36" s="87" t="s">
        <v>83</v>
      </c>
      <c r="B36" s="173"/>
      <c r="C36" s="416">
        <v>2.085</v>
      </c>
      <c r="D36" s="100">
        <f t="shared" si="2"/>
        <v>0</v>
      </c>
    </row>
    <row r="37" spans="1:4" x14ac:dyDescent="0.2">
      <c r="A37" s="87" t="s">
        <v>84</v>
      </c>
      <c r="B37" s="173"/>
      <c r="C37" s="416">
        <v>2.323</v>
      </c>
      <c r="D37" s="100">
        <f t="shared" si="2"/>
        <v>0</v>
      </c>
    </row>
    <row r="38" spans="1:4" ht="13.5" thickBot="1" x14ac:dyDescent="0.25">
      <c r="A38" s="87" t="s">
        <v>85</v>
      </c>
      <c r="B38" s="173"/>
      <c r="C38" s="416">
        <v>1.375</v>
      </c>
      <c r="D38" s="100">
        <f t="shared" si="2"/>
        <v>0</v>
      </c>
    </row>
    <row r="39" spans="1:4" x14ac:dyDescent="0.2">
      <c r="A39" s="106" t="s">
        <v>56</v>
      </c>
      <c r="B39" s="108"/>
      <c r="C39" s="417"/>
      <c r="D39" s="109">
        <f>SUM(D40:D47)</f>
        <v>0</v>
      </c>
    </row>
    <row r="40" spans="1:4" x14ac:dyDescent="0.2">
      <c r="A40" s="436" t="s">
        <v>650</v>
      </c>
      <c r="B40" s="173"/>
      <c r="C40" s="411">
        <v>4.8739999999999997</v>
      </c>
      <c r="D40" s="100">
        <f>B40/C40</f>
        <v>0</v>
      </c>
    </row>
    <row r="41" spans="1:4" x14ac:dyDescent="0.2">
      <c r="A41" s="436" t="s">
        <v>651</v>
      </c>
      <c r="B41" s="173"/>
      <c r="C41" s="411">
        <v>5.6279399999999997</v>
      </c>
      <c r="D41" s="100">
        <f t="shared" ref="D41:D47" si="3">B41/C41</f>
        <v>0</v>
      </c>
    </row>
    <row r="42" spans="1:4" x14ac:dyDescent="0.2">
      <c r="A42" s="436" t="s">
        <v>652</v>
      </c>
      <c r="B42" s="173"/>
      <c r="C42" s="411">
        <v>5.2954200000000009</v>
      </c>
      <c r="D42" s="100">
        <f t="shared" si="3"/>
        <v>0</v>
      </c>
    </row>
    <row r="43" spans="1:4" x14ac:dyDescent="0.2">
      <c r="A43" s="436" t="s">
        <v>653</v>
      </c>
      <c r="B43" s="173"/>
      <c r="C43" s="411">
        <v>5.8389999999999995</v>
      </c>
      <c r="D43" s="100">
        <f t="shared" si="3"/>
        <v>0</v>
      </c>
    </row>
    <row r="44" spans="1:4" x14ac:dyDescent="0.2">
      <c r="A44" s="436" t="s">
        <v>654</v>
      </c>
      <c r="B44" s="173"/>
      <c r="C44" s="411">
        <v>5.3791000000000002</v>
      </c>
      <c r="D44" s="100">
        <f t="shared" si="3"/>
        <v>0</v>
      </c>
    </row>
    <row r="45" spans="1:4" x14ac:dyDescent="0.2">
      <c r="A45" s="436" t="s">
        <v>655</v>
      </c>
      <c r="B45" s="173"/>
      <c r="C45" s="411">
        <v>5.9338000000000006</v>
      </c>
      <c r="D45" s="100">
        <f t="shared" si="3"/>
        <v>0</v>
      </c>
    </row>
    <row r="46" spans="1:4" x14ac:dyDescent="0.2">
      <c r="A46" s="436" t="s">
        <v>656</v>
      </c>
      <c r="B46" s="173"/>
      <c r="C46" s="411">
        <v>5.5796320000000001</v>
      </c>
      <c r="D46" s="100">
        <f t="shared" si="3"/>
        <v>0</v>
      </c>
    </row>
    <row r="47" spans="1:4" ht="13.5" thickBot="1" x14ac:dyDescent="0.25">
      <c r="A47" s="88" t="s">
        <v>86</v>
      </c>
      <c r="B47" s="173"/>
      <c r="C47" s="411">
        <v>1.99192237583773</v>
      </c>
      <c r="D47" s="100">
        <f t="shared" si="3"/>
        <v>0</v>
      </c>
    </row>
    <row r="48" spans="1:4" x14ac:dyDescent="0.2">
      <c r="A48" s="104" t="s">
        <v>657</v>
      </c>
      <c r="B48" s="105"/>
      <c r="C48" s="412" t="s">
        <v>658</v>
      </c>
      <c r="D48" s="109">
        <f>SUM(D49:D55)</f>
        <v>0</v>
      </c>
    </row>
    <row r="49" spans="1:4" x14ac:dyDescent="0.2">
      <c r="A49" s="173"/>
      <c r="B49" s="173"/>
      <c r="C49" s="173"/>
      <c r="D49" s="437" t="str">
        <f>IF(OR(B49="",C49=""),"",B49/C49)</f>
        <v/>
      </c>
    </row>
    <row r="50" spans="1:4" x14ac:dyDescent="0.2">
      <c r="A50" s="173"/>
      <c r="B50" s="173"/>
      <c r="C50" s="173"/>
      <c r="D50" s="437" t="str">
        <f t="shared" ref="D50:D55" si="4">IF(OR(B50="",C50=""),"",B50/C50)</f>
        <v/>
      </c>
    </row>
    <row r="51" spans="1:4" x14ac:dyDescent="0.2">
      <c r="A51" s="173"/>
      <c r="B51" s="173"/>
      <c r="C51" s="173"/>
      <c r="D51" s="437" t="str">
        <f t="shared" si="4"/>
        <v/>
      </c>
    </row>
    <row r="52" spans="1:4" x14ac:dyDescent="0.2">
      <c r="A52" s="173"/>
      <c r="B52" s="173"/>
      <c r="C52" s="173"/>
      <c r="D52" s="437" t="str">
        <f t="shared" si="4"/>
        <v/>
      </c>
    </row>
    <row r="53" spans="1:4" x14ac:dyDescent="0.2">
      <c r="A53" s="173"/>
      <c r="B53" s="173"/>
      <c r="C53" s="173"/>
      <c r="D53" s="437" t="str">
        <f t="shared" si="4"/>
        <v/>
      </c>
    </row>
    <row r="54" spans="1:4" x14ac:dyDescent="0.2">
      <c r="A54" s="173"/>
      <c r="B54" s="173"/>
      <c r="C54" s="173"/>
      <c r="D54" s="437" t="str">
        <f t="shared" si="4"/>
        <v/>
      </c>
    </row>
    <row r="55" spans="1:4" x14ac:dyDescent="0.2">
      <c r="A55" s="173"/>
      <c r="B55" s="173"/>
      <c r="C55" s="173"/>
      <c r="D55" s="437" t="str">
        <f t="shared" si="4"/>
        <v/>
      </c>
    </row>
    <row r="56" spans="1:4" x14ac:dyDescent="0.2">
      <c r="A56" s="18" t="s">
        <v>622</v>
      </c>
    </row>
    <row r="57" spans="1:4" x14ac:dyDescent="0.2">
      <c r="A57" t="s">
        <v>676</v>
      </c>
    </row>
  </sheetData>
  <sheetProtection password="D3B7" sheet="1" objects="1" scenarios="1"/>
  <protectedRanges>
    <protectedRange sqref="B5:B17 B19:B26 B28:B38 B40:B47 A49:C55 H9" name="Plage1"/>
  </protectedRanges>
  <mergeCells count="10">
    <mergeCell ref="F3:G3"/>
    <mergeCell ref="F15:G16"/>
    <mergeCell ref="H15:H16"/>
    <mergeCell ref="B1:H1"/>
    <mergeCell ref="F13:G14"/>
    <mergeCell ref="H13:H14"/>
    <mergeCell ref="F11:G12"/>
    <mergeCell ref="H11:H12"/>
    <mergeCell ref="F9:G10"/>
    <mergeCell ref="H9:H10"/>
  </mergeCells>
  <pageMargins left="0.7" right="0.7" top="0.75" bottom="0.75" header="0.3" footer="0.3"/>
  <pageSetup paperSize="9" scale="65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M536"/>
  <sheetViews>
    <sheetView zoomScaleNormal="100" zoomScaleSheetLayoutView="30" workbookViewId="0">
      <selection activeCell="B15" sqref="B15"/>
    </sheetView>
  </sheetViews>
  <sheetFormatPr baseColWidth="10" defaultRowHeight="12.75" x14ac:dyDescent="0.2"/>
  <cols>
    <col min="1" max="1" width="24.85546875" style="174" customWidth="1"/>
    <col min="2" max="2" width="13" style="174" customWidth="1"/>
    <col min="3" max="3" width="11.42578125" style="174"/>
    <col min="4" max="4" width="12.140625" style="174" customWidth="1"/>
    <col min="5" max="5" width="12" style="174" customWidth="1"/>
    <col min="6" max="7" width="11.42578125" style="174"/>
    <col min="8" max="8" width="13.5703125" style="174" customWidth="1"/>
    <col min="9" max="9" width="11.42578125" style="174"/>
    <col min="10" max="10" width="12.28515625" style="174" customWidth="1"/>
    <col min="11" max="11" width="8.5703125" style="174" customWidth="1"/>
    <col min="12" max="12" width="11.42578125" style="174"/>
    <col min="13" max="13" width="13.5703125" style="174" customWidth="1"/>
    <col min="14" max="16384" width="11.42578125" style="174"/>
  </cols>
  <sheetData>
    <row r="1" spans="1:12" ht="120.75" customHeight="1" x14ac:dyDescent="0.2">
      <c r="B1" s="528" t="s">
        <v>621</v>
      </c>
      <c r="C1" s="528"/>
      <c r="D1" s="528"/>
      <c r="E1" s="528"/>
      <c r="F1" s="528"/>
      <c r="G1" s="528"/>
      <c r="H1" s="528"/>
      <c r="I1" s="528"/>
      <c r="J1" s="528"/>
      <c r="K1" s="528"/>
    </row>
    <row r="2" spans="1:12" x14ac:dyDescent="0.2">
      <c r="A2" s="175"/>
      <c r="B2" s="175"/>
      <c r="C2" s="175"/>
      <c r="D2" s="175"/>
      <c r="E2" s="176"/>
      <c r="F2" s="177"/>
      <c r="G2" s="177"/>
      <c r="H2" s="175"/>
      <c r="I2" s="175"/>
      <c r="J2" s="175"/>
      <c r="K2" s="175"/>
      <c r="L2" s="175"/>
    </row>
    <row r="3" spans="1:12" x14ac:dyDescent="0.2">
      <c r="A3" s="178" t="s">
        <v>543</v>
      </c>
      <c r="B3" s="175"/>
      <c r="C3" s="175"/>
      <c r="D3" s="175"/>
      <c r="E3" s="176"/>
      <c r="F3" s="177"/>
      <c r="G3" s="177"/>
      <c r="H3" s="175"/>
      <c r="I3" s="175"/>
      <c r="J3" s="175"/>
      <c r="K3" s="175"/>
      <c r="L3" s="175"/>
    </row>
    <row r="4" spans="1:12" x14ac:dyDescent="0.2">
      <c r="A4" s="175"/>
      <c r="B4" s="175"/>
      <c r="C4" s="175"/>
      <c r="D4" s="175"/>
      <c r="E4" s="176"/>
      <c r="F4" s="177"/>
      <c r="G4" s="177"/>
      <c r="H4" s="175"/>
      <c r="I4" s="175"/>
      <c r="J4" s="175"/>
      <c r="K4" s="175"/>
      <c r="L4" s="175"/>
    </row>
    <row r="5" spans="1:12" x14ac:dyDescent="0.2">
      <c r="A5" s="175" t="s">
        <v>157</v>
      </c>
      <c r="B5" s="544" t="s">
        <v>158</v>
      </c>
      <c r="C5" s="545"/>
      <c r="D5" s="546"/>
      <c r="E5" s="176"/>
      <c r="F5" s="177"/>
      <c r="G5" s="177"/>
      <c r="H5" s="175"/>
      <c r="I5" s="175"/>
      <c r="J5" s="175"/>
      <c r="K5" s="175"/>
      <c r="L5" s="175"/>
    </row>
    <row r="6" spans="1:12" x14ac:dyDescent="0.2">
      <c r="A6" s="175"/>
      <c r="B6" s="179" t="s">
        <v>159</v>
      </c>
      <c r="C6" s="179"/>
      <c r="D6" s="179"/>
      <c r="E6" s="177"/>
      <c r="F6" s="177"/>
      <c r="G6" s="177"/>
      <c r="H6" s="175"/>
      <c r="I6" s="175"/>
      <c r="J6" s="175"/>
      <c r="K6" s="175"/>
      <c r="L6" s="175"/>
    </row>
    <row r="7" spans="1:12" x14ac:dyDescent="0.2">
      <c r="A7" s="175"/>
      <c r="B7" s="547" t="s">
        <v>160</v>
      </c>
      <c r="C7" s="547"/>
      <c r="D7" s="547"/>
      <c r="E7" s="177"/>
      <c r="F7" s="177"/>
      <c r="G7" s="177"/>
      <c r="H7" s="175"/>
      <c r="I7" s="175"/>
      <c r="J7" s="175"/>
      <c r="K7" s="175"/>
      <c r="L7" s="175"/>
    </row>
    <row r="8" spans="1:12" x14ac:dyDescent="0.2">
      <c r="A8" s="175"/>
      <c r="B8" s="180" t="s">
        <v>161</v>
      </c>
      <c r="C8" s="180"/>
      <c r="D8" s="180"/>
      <c r="E8" s="175"/>
      <c r="F8" s="175"/>
      <c r="G8" s="175"/>
      <c r="H8" s="175"/>
      <c r="I8" s="175"/>
      <c r="J8" s="175"/>
      <c r="K8" s="175"/>
      <c r="L8" s="175"/>
    </row>
    <row r="9" spans="1:12" x14ac:dyDescent="0.2">
      <c r="A9" s="175"/>
      <c r="B9" s="181"/>
      <c r="C9" s="181"/>
      <c r="D9" s="175"/>
      <c r="E9" s="175"/>
      <c r="F9" s="175"/>
      <c r="G9" s="175"/>
      <c r="H9" s="175"/>
      <c r="I9" s="175"/>
      <c r="J9" s="175"/>
      <c r="K9" s="175"/>
      <c r="L9" s="175"/>
    </row>
    <row r="10" spans="1:12" x14ac:dyDescent="0.2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</row>
    <row r="11" spans="1:12" ht="20.25" customHeight="1" x14ac:dyDescent="0.2">
      <c r="A11" s="516" t="s">
        <v>162</v>
      </c>
      <c r="B11" s="516"/>
      <c r="C11" s="516"/>
      <c r="D11" s="516"/>
      <c r="E11" s="516"/>
      <c r="F11" s="516"/>
      <c r="G11" s="516"/>
      <c r="H11" s="516"/>
      <c r="I11" s="516"/>
      <c r="J11" s="516"/>
      <c r="K11" s="182"/>
    </row>
    <row r="12" spans="1:12" x14ac:dyDescent="0.2">
      <c r="A12" s="183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</row>
    <row r="13" spans="1:12" x14ac:dyDescent="0.2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</row>
    <row r="14" spans="1:12" ht="38.25" x14ac:dyDescent="0.2">
      <c r="A14" s="184" t="s">
        <v>163</v>
      </c>
      <c r="B14" s="429" t="s">
        <v>164</v>
      </c>
      <c r="C14" s="236" t="s">
        <v>165</v>
      </c>
      <c r="D14" s="236" t="s">
        <v>166</v>
      </c>
      <c r="E14" s="185" t="s">
        <v>167</v>
      </c>
      <c r="F14" s="185" t="s">
        <v>168</v>
      </c>
      <c r="G14" s="185" t="s">
        <v>169</v>
      </c>
      <c r="H14" s="186" t="s">
        <v>167</v>
      </c>
      <c r="I14" s="186" t="s">
        <v>168</v>
      </c>
      <c r="J14" s="186" t="s">
        <v>169</v>
      </c>
      <c r="L14" s="175"/>
    </row>
    <row r="15" spans="1:12" ht="25.5" x14ac:dyDescent="0.2">
      <c r="A15" s="187"/>
      <c r="B15" s="188" t="s">
        <v>170</v>
      </c>
      <c r="C15" s="189" t="s">
        <v>170</v>
      </c>
      <c r="D15" s="189" t="s">
        <v>170</v>
      </c>
      <c r="E15" s="188" t="s">
        <v>171</v>
      </c>
      <c r="F15" s="188" t="s">
        <v>171</v>
      </c>
      <c r="G15" s="188" t="s">
        <v>171</v>
      </c>
      <c r="H15" s="190" t="s">
        <v>172</v>
      </c>
      <c r="I15" s="188" t="s">
        <v>172</v>
      </c>
      <c r="J15" s="188" t="s">
        <v>172</v>
      </c>
      <c r="L15" s="175"/>
    </row>
    <row r="16" spans="1:12" x14ac:dyDescent="0.2">
      <c r="A16" s="191" t="s">
        <v>173</v>
      </c>
      <c r="B16" s="94"/>
      <c r="C16" s="94"/>
      <c r="D16" s="94"/>
      <c r="E16" s="304">
        <v>0</v>
      </c>
      <c r="F16" s="304">
        <v>0</v>
      </c>
      <c r="G16" s="304">
        <v>600</v>
      </c>
      <c r="H16" s="192">
        <f t="shared" ref="H16:J18" si="0">($B16+$C16-$D16)*E16</f>
        <v>0</v>
      </c>
      <c r="I16" s="192">
        <f t="shared" si="0"/>
        <v>0</v>
      </c>
      <c r="J16" s="192">
        <f t="shared" si="0"/>
        <v>0</v>
      </c>
      <c r="L16" s="193"/>
    </row>
    <row r="17" spans="1:12" x14ac:dyDescent="0.2">
      <c r="A17" s="191" t="s">
        <v>174</v>
      </c>
      <c r="B17" s="94"/>
      <c r="C17" s="94"/>
      <c r="D17" s="94"/>
      <c r="E17" s="304">
        <v>0</v>
      </c>
      <c r="F17" s="304">
        <v>0</v>
      </c>
      <c r="G17" s="304">
        <v>300</v>
      </c>
      <c r="H17" s="192">
        <f t="shared" si="0"/>
        <v>0</v>
      </c>
      <c r="I17" s="192">
        <f t="shared" si="0"/>
        <v>0</v>
      </c>
      <c r="J17" s="192">
        <f t="shared" si="0"/>
        <v>0</v>
      </c>
      <c r="L17" s="193"/>
    </row>
    <row r="18" spans="1:12" x14ac:dyDescent="0.2">
      <c r="A18" s="191" t="s">
        <v>175</v>
      </c>
      <c r="B18" s="94"/>
      <c r="C18" s="94"/>
      <c r="D18" s="94"/>
      <c r="E18" s="304">
        <v>0</v>
      </c>
      <c r="F18" s="304">
        <v>0</v>
      </c>
      <c r="G18" s="304">
        <v>500</v>
      </c>
      <c r="H18" s="192">
        <f t="shared" si="0"/>
        <v>0</v>
      </c>
      <c r="I18" s="192">
        <f t="shared" si="0"/>
        <v>0</v>
      </c>
      <c r="J18" s="192">
        <f t="shared" si="0"/>
        <v>0</v>
      </c>
      <c r="L18" s="193"/>
    </row>
    <row r="19" spans="1:12" x14ac:dyDescent="0.2">
      <c r="A19" s="191" t="s">
        <v>176</v>
      </c>
      <c r="B19" s="94"/>
      <c r="C19" s="94"/>
      <c r="D19" s="94"/>
      <c r="E19" s="304">
        <v>335</v>
      </c>
      <c r="F19" s="304">
        <v>0</v>
      </c>
      <c r="G19" s="304">
        <v>0</v>
      </c>
      <c r="H19" s="192">
        <f t="shared" ref="H19:J39" si="1">($B19+$C19-$D19)*E19</f>
        <v>0</v>
      </c>
      <c r="I19" s="192">
        <f t="shared" si="1"/>
        <v>0</v>
      </c>
      <c r="J19" s="192">
        <f t="shared" si="1"/>
        <v>0</v>
      </c>
      <c r="L19" s="193"/>
    </row>
    <row r="20" spans="1:12" x14ac:dyDescent="0.2">
      <c r="A20" s="191" t="s">
        <v>177</v>
      </c>
      <c r="B20" s="94"/>
      <c r="C20" s="94"/>
      <c r="D20" s="94"/>
      <c r="E20" s="304">
        <v>200</v>
      </c>
      <c r="F20" s="304">
        <v>0</v>
      </c>
      <c r="G20" s="304">
        <v>0</v>
      </c>
      <c r="H20" s="192">
        <f t="shared" si="1"/>
        <v>0</v>
      </c>
      <c r="I20" s="192">
        <f t="shared" si="1"/>
        <v>0</v>
      </c>
      <c r="J20" s="192">
        <f t="shared" si="1"/>
        <v>0</v>
      </c>
      <c r="L20" s="193"/>
    </row>
    <row r="21" spans="1:12" x14ac:dyDescent="0.2">
      <c r="A21" s="191" t="s">
        <v>178</v>
      </c>
      <c r="B21" s="94"/>
      <c r="C21" s="94"/>
      <c r="D21" s="94"/>
      <c r="E21" s="304">
        <v>155</v>
      </c>
      <c r="F21" s="304">
        <v>0</v>
      </c>
      <c r="G21" s="304">
        <v>0</v>
      </c>
      <c r="H21" s="192">
        <f t="shared" si="1"/>
        <v>0</v>
      </c>
      <c r="I21" s="192">
        <f t="shared" si="1"/>
        <v>0</v>
      </c>
      <c r="J21" s="192">
        <f t="shared" si="1"/>
        <v>0</v>
      </c>
      <c r="L21" s="193"/>
    </row>
    <row r="22" spans="1:12" ht="25.5" x14ac:dyDescent="0.2">
      <c r="A22" s="191" t="s">
        <v>179</v>
      </c>
      <c r="B22" s="94"/>
      <c r="C22" s="94"/>
      <c r="D22" s="94"/>
      <c r="E22" s="304">
        <v>150</v>
      </c>
      <c r="F22" s="304">
        <v>0</v>
      </c>
      <c r="G22" s="304">
        <v>0</v>
      </c>
      <c r="H22" s="192">
        <f t="shared" si="1"/>
        <v>0</v>
      </c>
      <c r="I22" s="192">
        <f t="shared" si="1"/>
        <v>0</v>
      </c>
      <c r="J22" s="192">
        <f t="shared" si="1"/>
        <v>0</v>
      </c>
      <c r="L22" s="193"/>
    </row>
    <row r="23" spans="1:12" x14ac:dyDescent="0.2">
      <c r="A23" s="191" t="s">
        <v>180</v>
      </c>
      <c r="B23" s="94"/>
      <c r="C23" s="94"/>
      <c r="D23" s="94"/>
      <c r="E23" s="304">
        <v>160</v>
      </c>
      <c r="F23" s="304">
        <v>0</v>
      </c>
      <c r="G23" s="304">
        <v>0</v>
      </c>
      <c r="H23" s="192">
        <f t="shared" si="1"/>
        <v>0</v>
      </c>
      <c r="I23" s="192">
        <f t="shared" si="1"/>
        <v>0</v>
      </c>
      <c r="J23" s="192">
        <f t="shared" si="1"/>
        <v>0</v>
      </c>
      <c r="L23" s="193"/>
    </row>
    <row r="24" spans="1:12" x14ac:dyDescent="0.2">
      <c r="A24" s="191" t="s">
        <v>181</v>
      </c>
      <c r="B24" s="94"/>
      <c r="C24" s="94"/>
      <c r="D24" s="94"/>
      <c r="E24" s="304">
        <v>100</v>
      </c>
      <c r="F24" s="304">
        <v>0</v>
      </c>
      <c r="G24" s="304">
        <v>0</v>
      </c>
      <c r="H24" s="192">
        <f t="shared" si="1"/>
        <v>0</v>
      </c>
      <c r="I24" s="192">
        <f t="shared" si="1"/>
        <v>0</v>
      </c>
      <c r="J24" s="192">
        <f t="shared" si="1"/>
        <v>0</v>
      </c>
      <c r="L24" s="193"/>
    </row>
    <row r="25" spans="1:12" x14ac:dyDescent="0.2">
      <c r="A25" s="191" t="s">
        <v>182</v>
      </c>
      <c r="B25" s="94"/>
      <c r="C25" s="94"/>
      <c r="D25" s="94"/>
      <c r="E25" s="304">
        <v>210</v>
      </c>
      <c r="F25" s="304">
        <v>0</v>
      </c>
      <c r="G25" s="304">
        <v>0</v>
      </c>
      <c r="H25" s="192">
        <f t="shared" si="1"/>
        <v>0</v>
      </c>
      <c r="I25" s="192">
        <f t="shared" si="1"/>
        <v>0</v>
      </c>
      <c r="J25" s="192">
        <f t="shared" si="1"/>
        <v>0</v>
      </c>
      <c r="L25" s="193"/>
    </row>
    <row r="26" spans="1:12" x14ac:dyDescent="0.2">
      <c r="A26" s="191" t="s">
        <v>183</v>
      </c>
      <c r="B26" s="94"/>
      <c r="C26" s="94"/>
      <c r="D26" s="94"/>
      <c r="E26" s="304">
        <v>260</v>
      </c>
      <c r="F26" s="304">
        <v>0</v>
      </c>
      <c r="G26" s="304">
        <v>0</v>
      </c>
      <c r="H26" s="192">
        <f t="shared" si="1"/>
        <v>0</v>
      </c>
      <c r="I26" s="192">
        <f t="shared" si="1"/>
        <v>0</v>
      </c>
      <c r="J26" s="192">
        <f t="shared" si="1"/>
        <v>0</v>
      </c>
      <c r="L26" s="193"/>
    </row>
    <row r="27" spans="1:12" x14ac:dyDescent="0.2">
      <c r="A27" s="191" t="s">
        <v>184</v>
      </c>
      <c r="B27" s="446"/>
      <c r="C27" s="94"/>
      <c r="D27" s="94"/>
      <c r="E27" s="304">
        <v>460</v>
      </c>
      <c r="F27" s="304">
        <v>0</v>
      </c>
      <c r="G27" s="304">
        <v>0</v>
      </c>
      <c r="H27" s="192">
        <f t="shared" si="1"/>
        <v>0</v>
      </c>
      <c r="I27" s="192">
        <f t="shared" si="1"/>
        <v>0</v>
      </c>
      <c r="J27" s="192">
        <f t="shared" si="1"/>
        <v>0</v>
      </c>
      <c r="L27" s="193"/>
    </row>
    <row r="28" spans="1:12" x14ac:dyDescent="0.2">
      <c r="A28" s="191" t="s">
        <v>185</v>
      </c>
      <c r="B28" s="94"/>
      <c r="C28" s="94"/>
      <c r="D28" s="94"/>
      <c r="E28" s="304">
        <v>130</v>
      </c>
      <c r="F28" s="304">
        <v>0</v>
      </c>
      <c r="G28" s="304">
        <v>440</v>
      </c>
      <c r="H28" s="192">
        <f t="shared" si="1"/>
        <v>0</v>
      </c>
      <c r="I28" s="192">
        <f t="shared" si="1"/>
        <v>0</v>
      </c>
      <c r="J28" s="192">
        <f t="shared" si="1"/>
        <v>0</v>
      </c>
      <c r="L28" s="193"/>
    </row>
    <row r="29" spans="1:12" ht="25.5" x14ac:dyDescent="0.2">
      <c r="A29" s="191" t="s">
        <v>186</v>
      </c>
      <c r="B29" s="94"/>
      <c r="C29" s="94"/>
      <c r="D29" s="94"/>
      <c r="E29" s="304">
        <v>170</v>
      </c>
      <c r="F29" s="304">
        <v>170</v>
      </c>
      <c r="G29" s="304">
        <v>0</v>
      </c>
      <c r="H29" s="192">
        <f t="shared" si="1"/>
        <v>0</v>
      </c>
      <c r="I29" s="192">
        <f t="shared" si="1"/>
        <v>0</v>
      </c>
      <c r="J29" s="192">
        <f t="shared" si="1"/>
        <v>0</v>
      </c>
      <c r="L29" s="193"/>
    </row>
    <row r="30" spans="1:12" x14ac:dyDescent="0.2">
      <c r="A30" s="191" t="s">
        <v>187</v>
      </c>
      <c r="B30" s="94"/>
      <c r="C30" s="94"/>
      <c r="D30" s="94"/>
      <c r="E30" s="304">
        <v>110</v>
      </c>
      <c r="F30" s="304">
        <v>60</v>
      </c>
      <c r="G30" s="304">
        <v>20</v>
      </c>
      <c r="H30" s="192">
        <f t="shared" si="1"/>
        <v>0</v>
      </c>
      <c r="I30" s="192">
        <f t="shared" si="1"/>
        <v>0</v>
      </c>
      <c r="J30" s="192">
        <f t="shared" si="1"/>
        <v>0</v>
      </c>
      <c r="L30" s="193"/>
    </row>
    <row r="31" spans="1:12" x14ac:dyDescent="0.2">
      <c r="A31" s="191" t="s">
        <v>188</v>
      </c>
      <c r="B31" s="94"/>
      <c r="C31" s="94"/>
      <c r="D31" s="94"/>
      <c r="E31" s="304">
        <v>100</v>
      </c>
      <c r="F31" s="304">
        <v>10</v>
      </c>
      <c r="G31" s="304">
        <v>50</v>
      </c>
      <c r="H31" s="192">
        <f t="shared" si="1"/>
        <v>0</v>
      </c>
      <c r="I31" s="192">
        <f t="shared" si="1"/>
        <v>0</v>
      </c>
      <c r="J31" s="192">
        <f t="shared" si="1"/>
        <v>0</v>
      </c>
      <c r="L31" s="193"/>
    </row>
    <row r="32" spans="1:12" x14ac:dyDescent="0.2">
      <c r="A32" s="191" t="s">
        <v>189</v>
      </c>
      <c r="B32" s="94"/>
      <c r="C32" s="94"/>
      <c r="D32" s="94"/>
      <c r="E32" s="304">
        <v>5</v>
      </c>
      <c r="F32" s="304">
        <v>4</v>
      </c>
      <c r="G32" s="304">
        <v>4.5</v>
      </c>
      <c r="H32" s="192">
        <f t="shared" si="1"/>
        <v>0</v>
      </c>
      <c r="I32" s="192">
        <f t="shared" si="1"/>
        <v>0</v>
      </c>
      <c r="J32" s="192">
        <f t="shared" si="1"/>
        <v>0</v>
      </c>
      <c r="L32" s="193"/>
    </row>
    <row r="33" spans="1:12" ht="25.5" x14ac:dyDescent="0.2">
      <c r="A33" s="191" t="s">
        <v>190</v>
      </c>
      <c r="B33" s="94"/>
      <c r="C33" s="94"/>
      <c r="D33" s="94"/>
      <c r="E33" s="304">
        <v>140</v>
      </c>
      <c r="F33" s="304">
        <v>80</v>
      </c>
      <c r="G33" s="304">
        <v>200</v>
      </c>
      <c r="H33" s="192">
        <f t="shared" si="1"/>
        <v>0</v>
      </c>
      <c r="I33" s="192">
        <f t="shared" si="1"/>
        <v>0</v>
      </c>
      <c r="J33" s="192">
        <f t="shared" si="1"/>
        <v>0</v>
      </c>
      <c r="L33" s="193"/>
    </row>
    <row r="34" spans="1:12" x14ac:dyDescent="0.2">
      <c r="A34" s="191" t="s">
        <v>191</v>
      </c>
      <c r="B34" s="94"/>
      <c r="C34" s="94"/>
      <c r="D34" s="94"/>
      <c r="E34" s="304">
        <v>100</v>
      </c>
      <c r="F34" s="304">
        <v>40</v>
      </c>
      <c r="G34" s="304">
        <v>20</v>
      </c>
      <c r="H34" s="192">
        <f t="shared" si="1"/>
        <v>0</v>
      </c>
      <c r="I34" s="192">
        <f t="shared" si="1"/>
        <v>0</v>
      </c>
      <c r="J34" s="192">
        <f t="shared" si="1"/>
        <v>0</v>
      </c>
      <c r="L34" s="193"/>
    </row>
    <row r="35" spans="1:12" x14ac:dyDescent="0.2">
      <c r="A35" s="191" t="s">
        <v>192</v>
      </c>
      <c r="B35" s="94"/>
      <c r="C35" s="94"/>
      <c r="D35" s="94"/>
      <c r="E35" s="304">
        <v>0</v>
      </c>
      <c r="F35" s="304">
        <v>180</v>
      </c>
      <c r="G35" s="304">
        <v>0</v>
      </c>
      <c r="H35" s="192">
        <f t="shared" si="1"/>
        <v>0</v>
      </c>
      <c r="I35" s="192">
        <f t="shared" si="1"/>
        <v>0</v>
      </c>
      <c r="J35" s="192">
        <f t="shared" si="1"/>
        <v>0</v>
      </c>
      <c r="L35" s="193"/>
    </row>
    <row r="36" spans="1:12" x14ac:dyDescent="0.2">
      <c r="A36" s="191" t="s">
        <v>193</v>
      </c>
      <c r="B36" s="94"/>
      <c r="C36" s="94"/>
      <c r="D36" s="94"/>
      <c r="E36" s="304">
        <v>0</v>
      </c>
      <c r="F36" s="304">
        <v>180</v>
      </c>
      <c r="G36" s="304">
        <v>0</v>
      </c>
      <c r="H36" s="192">
        <f t="shared" si="1"/>
        <v>0</v>
      </c>
      <c r="I36" s="192">
        <f t="shared" si="1"/>
        <v>0</v>
      </c>
      <c r="J36" s="192">
        <f t="shared" si="1"/>
        <v>0</v>
      </c>
      <c r="L36" s="193"/>
    </row>
    <row r="37" spans="1:12" x14ac:dyDescent="0.2">
      <c r="A37" s="191" t="s">
        <v>194</v>
      </c>
      <c r="B37" s="94"/>
      <c r="C37" s="94"/>
      <c r="D37" s="94"/>
      <c r="E37" s="304">
        <v>0</v>
      </c>
      <c r="F37" s="304">
        <v>450</v>
      </c>
      <c r="G37" s="304">
        <v>0</v>
      </c>
      <c r="H37" s="192">
        <f t="shared" si="1"/>
        <v>0</v>
      </c>
      <c r="I37" s="192">
        <f t="shared" si="1"/>
        <v>0</v>
      </c>
      <c r="J37" s="192">
        <f t="shared" si="1"/>
        <v>0</v>
      </c>
      <c r="L37" s="193"/>
    </row>
    <row r="38" spans="1:12" x14ac:dyDescent="0.2">
      <c r="A38" s="191" t="s">
        <v>195</v>
      </c>
      <c r="B38" s="94"/>
      <c r="C38" s="94"/>
      <c r="D38" s="94"/>
      <c r="E38" s="304">
        <v>0</v>
      </c>
      <c r="F38" s="304">
        <v>150</v>
      </c>
      <c r="G38" s="304">
        <v>250</v>
      </c>
      <c r="H38" s="192">
        <f t="shared" si="1"/>
        <v>0</v>
      </c>
      <c r="I38" s="192">
        <f t="shared" si="1"/>
        <v>0</v>
      </c>
      <c r="J38" s="192">
        <f t="shared" si="1"/>
        <v>0</v>
      </c>
      <c r="L38" s="193"/>
    </row>
    <row r="39" spans="1:12" x14ac:dyDescent="0.2">
      <c r="A39" s="194" t="s">
        <v>196</v>
      </c>
      <c r="B39" s="94"/>
      <c r="C39" s="94"/>
      <c r="D39" s="94"/>
      <c r="E39" s="304">
        <v>9</v>
      </c>
      <c r="F39" s="304">
        <v>0</v>
      </c>
      <c r="G39" s="304">
        <v>0</v>
      </c>
      <c r="H39" s="192">
        <f t="shared" si="1"/>
        <v>0</v>
      </c>
      <c r="I39" s="192">
        <f t="shared" si="1"/>
        <v>0</v>
      </c>
      <c r="J39" s="192">
        <f t="shared" si="1"/>
        <v>0</v>
      </c>
      <c r="L39" s="193"/>
    </row>
    <row r="40" spans="1:12" x14ac:dyDescent="0.2">
      <c r="A40" s="191" t="s">
        <v>197</v>
      </c>
      <c r="B40" s="94"/>
      <c r="C40" s="94"/>
      <c r="D40" s="94"/>
      <c r="E40" s="94"/>
      <c r="F40" s="94"/>
      <c r="G40" s="94"/>
      <c r="H40" s="192">
        <f t="shared" ref="H40:J41" si="2">($B40+$C40-$D40)*E40</f>
        <v>0</v>
      </c>
      <c r="I40" s="192">
        <f t="shared" si="2"/>
        <v>0</v>
      </c>
      <c r="J40" s="192">
        <f>($B40+$C40-$D40)*G40</f>
        <v>0</v>
      </c>
      <c r="L40" s="193"/>
    </row>
    <row r="41" spans="1:12" x14ac:dyDescent="0.2">
      <c r="A41" s="191" t="s">
        <v>197</v>
      </c>
      <c r="B41" s="94"/>
      <c r="C41" s="94"/>
      <c r="D41" s="94"/>
      <c r="E41" s="94"/>
      <c r="F41" s="94"/>
      <c r="G41" s="94"/>
      <c r="H41" s="192">
        <f t="shared" si="2"/>
        <v>0</v>
      </c>
      <c r="I41" s="192">
        <f t="shared" si="2"/>
        <v>0</v>
      </c>
      <c r="J41" s="192">
        <f t="shared" si="2"/>
        <v>0</v>
      </c>
      <c r="L41" s="193"/>
    </row>
    <row r="42" spans="1:12" x14ac:dyDescent="0.2">
      <c r="A42" s="195"/>
      <c r="B42" s="196"/>
      <c r="C42" s="197"/>
      <c r="D42" s="197"/>
      <c r="E42" s="197"/>
      <c r="F42" s="197"/>
      <c r="G42" s="197"/>
      <c r="H42" s="198" t="s">
        <v>167</v>
      </c>
      <c r="I42" s="198" t="s">
        <v>168</v>
      </c>
      <c r="J42" s="198" t="s">
        <v>169</v>
      </c>
      <c r="K42" s="175"/>
      <c r="L42" s="175"/>
    </row>
    <row r="43" spans="1:12" x14ac:dyDescent="0.2">
      <c r="A43" s="195"/>
      <c r="B43" s="196"/>
      <c r="C43" s="196"/>
      <c r="D43" s="196"/>
      <c r="E43" s="199" t="s">
        <v>198</v>
      </c>
      <c r="F43" s="517" t="s">
        <v>199</v>
      </c>
      <c r="G43" s="518"/>
      <c r="H43" s="192">
        <f>SUM(H16:H41)</f>
        <v>0</v>
      </c>
      <c r="I43" s="192">
        <f>SUM(I16:I41)</f>
        <v>0</v>
      </c>
      <c r="J43" s="192">
        <f>SUM(J16:J41)</f>
        <v>0</v>
      </c>
      <c r="K43" s="175"/>
      <c r="L43" s="175"/>
    </row>
    <row r="44" spans="1:12" x14ac:dyDescent="0.2">
      <c r="A44" s="195"/>
      <c r="B44" s="196"/>
      <c r="C44" s="196"/>
      <c r="D44" s="196"/>
      <c r="E44" s="521" t="s">
        <v>200</v>
      </c>
      <c r="F44" s="522"/>
      <c r="G44" s="523"/>
      <c r="H44" s="201">
        <v>1</v>
      </c>
      <c r="I44" s="201">
        <v>0.437</v>
      </c>
      <c r="J44" s="201">
        <v>0.83</v>
      </c>
      <c r="K44" s="175"/>
      <c r="L44" s="175"/>
    </row>
    <row r="45" spans="1:12" ht="13.5" thickBot="1" x14ac:dyDescent="0.25">
      <c r="A45" s="195"/>
      <c r="B45" s="196"/>
      <c r="C45" s="196"/>
      <c r="D45" s="196"/>
      <c r="E45" s="525"/>
      <c r="F45" s="526"/>
      <c r="G45" s="527"/>
      <c r="H45" s="318" t="s">
        <v>167</v>
      </c>
      <c r="I45" s="318" t="s">
        <v>201</v>
      </c>
      <c r="J45" s="318" t="s">
        <v>202</v>
      </c>
      <c r="K45" s="175"/>
      <c r="L45" s="175"/>
    </row>
    <row r="46" spans="1:12" ht="51.75" thickBot="1" x14ac:dyDescent="0.25">
      <c r="A46" s="195"/>
      <c r="B46" s="196"/>
      <c r="C46" s="196"/>
      <c r="D46" s="196"/>
      <c r="E46" s="319" t="s">
        <v>203</v>
      </c>
      <c r="F46" s="519" t="s">
        <v>199</v>
      </c>
      <c r="G46" s="520"/>
      <c r="H46" s="322">
        <f>(H43)*H44</f>
        <v>0</v>
      </c>
      <c r="I46" s="323">
        <f>(I43)*I44</f>
        <v>0</v>
      </c>
      <c r="J46" s="324">
        <f>(J43)*J44</f>
        <v>0</v>
      </c>
      <c r="K46" s="175"/>
      <c r="L46" s="175"/>
    </row>
    <row r="47" spans="1:12" x14ac:dyDescent="0.2">
      <c r="A47" s="195"/>
      <c r="B47" s="196"/>
      <c r="C47" s="197"/>
      <c r="D47" s="203"/>
      <c r="E47" s="203"/>
      <c r="F47" s="203"/>
      <c r="G47" s="203"/>
      <c r="H47" s="203"/>
      <c r="I47" s="175"/>
      <c r="J47" s="175"/>
      <c r="K47" s="175"/>
      <c r="L47" s="175"/>
    </row>
    <row r="48" spans="1:12" ht="20.25" customHeight="1" x14ac:dyDescent="0.2">
      <c r="A48" s="516" t="s">
        <v>204</v>
      </c>
      <c r="B48" s="516"/>
      <c r="C48" s="516"/>
      <c r="D48" s="516"/>
      <c r="E48" s="516"/>
      <c r="F48" s="516"/>
      <c r="G48" s="516"/>
      <c r="H48" s="516"/>
      <c r="I48" s="516"/>
      <c r="J48" s="516"/>
      <c r="K48" s="182"/>
    </row>
    <row r="49" spans="1:12" x14ac:dyDescent="0.2">
      <c r="A49" s="204"/>
      <c r="B49" s="205"/>
      <c r="C49" s="205"/>
      <c r="D49" s="205"/>
      <c r="E49" s="205"/>
      <c r="F49" s="205"/>
      <c r="G49" s="206"/>
      <c r="H49" s="175"/>
      <c r="I49" s="175"/>
      <c r="J49" s="175"/>
      <c r="K49" s="175"/>
      <c r="L49" s="175"/>
    </row>
    <row r="50" spans="1:12" x14ac:dyDescent="0.2">
      <c r="A50" s="204"/>
      <c r="B50" s="205"/>
      <c r="C50" s="205"/>
      <c r="D50" s="205"/>
      <c r="E50" s="205"/>
      <c r="F50" s="205"/>
      <c r="G50" s="206"/>
      <c r="H50" s="175"/>
      <c r="I50" s="175"/>
      <c r="J50" s="175"/>
      <c r="K50" s="175"/>
      <c r="L50" s="175"/>
    </row>
    <row r="51" spans="1:12" x14ac:dyDescent="0.2">
      <c r="A51" s="207" t="s">
        <v>205</v>
      </c>
      <c r="B51" s="208"/>
      <c r="C51" s="208"/>
      <c r="D51" s="208"/>
      <c r="E51" s="208"/>
      <c r="F51" s="208"/>
      <c r="G51" s="206"/>
      <c r="H51" s="175"/>
      <c r="I51" s="175"/>
      <c r="J51" s="175"/>
      <c r="K51" s="175"/>
      <c r="L51" s="175"/>
    </row>
    <row r="52" spans="1:12" ht="38.25" x14ac:dyDescent="0.2">
      <c r="A52" s="184" t="s">
        <v>163</v>
      </c>
      <c r="B52" s="429" t="s">
        <v>164</v>
      </c>
      <c r="C52" s="429" t="s">
        <v>165</v>
      </c>
      <c r="D52" s="429" t="s">
        <v>166</v>
      </c>
      <c r="E52" s="185" t="s">
        <v>167</v>
      </c>
      <c r="F52" s="185" t="s">
        <v>168</v>
      </c>
      <c r="G52" s="185" t="s">
        <v>169</v>
      </c>
      <c r="H52" s="209" t="s">
        <v>167</v>
      </c>
      <c r="I52" s="209" t="s">
        <v>168</v>
      </c>
      <c r="J52" s="209" t="s">
        <v>169</v>
      </c>
      <c r="K52" s="175"/>
    </row>
    <row r="53" spans="1:12" ht="51" x14ac:dyDescent="0.2">
      <c r="A53" s="187"/>
      <c r="B53" s="188" t="s">
        <v>206</v>
      </c>
      <c r="C53" s="188" t="s">
        <v>206</v>
      </c>
      <c r="D53" s="188" t="s">
        <v>206</v>
      </c>
      <c r="E53" s="188" t="s">
        <v>207</v>
      </c>
      <c r="F53" s="188" t="s">
        <v>208</v>
      </c>
      <c r="G53" s="188" t="s">
        <v>209</v>
      </c>
      <c r="H53" s="190" t="s">
        <v>172</v>
      </c>
      <c r="I53" s="188" t="s">
        <v>172</v>
      </c>
      <c r="J53" s="188" t="s">
        <v>172</v>
      </c>
      <c r="K53" s="175"/>
    </row>
    <row r="54" spans="1:12" x14ac:dyDescent="0.2">
      <c r="A54" s="191" t="s">
        <v>210</v>
      </c>
      <c r="B54" s="95"/>
      <c r="C54" s="95"/>
      <c r="D54" s="95"/>
      <c r="E54" s="304">
        <v>6</v>
      </c>
      <c r="F54" s="304">
        <v>1.5</v>
      </c>
      <c r="G54" s="304">
        <v>15</v>
      </c>
      <c r="H54" s="210">
        <f>($B54+$C54-$D54)*E54</f>
        <v>0</v>
      </c>
      <c r="I54" s="210">
        <f>($B54+$C54-$D54)*F54</f>
        <v>0</v>
      </c>
      <c r="J54" s="210">
        <f>($B54+$C54-$D54)*G54</f>
        <v>0</v>
      </c>
      <c r="K54" s="193"/>
    </row>
    <row r="55" spans="1:12" x14ac:dyDescent="0.2">
      <c r="A55" s="194" t="s">
        <v>211</v>
      </c>
      <c r="B55" s="95"/>
      <c r="C55" s="95"/>
      <c r="D55" s="95"/>
      <c r="E55" s="304">
        <v>2</v>
      </c>
      <c r="F55" s="304">
        <v>1.5</v>
      </c>
      <c r="G55" s="304">
        <v>0.25</v>
      </c>
      <c r="H55" s="210">
        <f t="shared" ref="H55:J85" si="3">($B55+$C55-$D55)*E55</f>
        <v>0</v>
      </c>
      <c r="I55" s="210">
        <f t="shared" si="3"/>
        <v>0</v>
      </c>
      <c r="J55" s="210">
        <f t="shared" si="3"/>
        <v>0</v>
      </c>
      <c r="K55" s="193"/>
    </row>
    <row r="56" spans="1:12" ht="25.5" x14ac:dyDescent="0.2">
      <c r="A56" s="191" t="s">
        <v>212</v>
      </c>
      <c r="B56" s="95"/>
      <c r="C56" s="95"/>
      <c r="D56" s="95"/>
      <c r="E56" s="304">
        <v>5.5</v>
      </c>
      <c r="F56" s="304">
        <v>8.4</v>
      </c>
      <c r="G56" s="304">
        <v>8.1</v>
      </c>
      <c r="H56" s="210">
        <f t="shared" si="3"/>
        <v>0</v>
      </c>
      <c r="I56" s="210">
        <f t="shared" si="3"/>
        <v>0</v>
      </c>
      <c r="J56" s="210">
        <f t="shared" si="3"/>
        <v>0</v>
      </c>
      <c r="K56" s="193"/>
    </row>
    <row r="57" spans="1:12" ht="25.5" x14ac:dyDescent="0.2">
      <c r="A57" s="191" t="s">
        <v>213</v>
      </c>
      <c r="B57" s="95"/>
      <c r="C57" s="95"/>
      <c r="D57" s="95"/>
      <c r="E57" s="304">
        <v>18</v>
      </c>
      <c r="F57" s="304">
        <v>10</v>
      </c>
      <c r="G57" s="304">
        <v>18</v>
      </c>
      <c r="H57" s="210">
        <f t="shared" si="3"/>
        <v>0</v>
      </c>
      <c r="I57" s="210">
        <f t="shared" si="3"/>
        <v>0</v>
      </c>
      <c r="J57" s="210">
        <f t="shared" si="3"/>
        <v>0</v>
      </c>
      <c r="K57" s="193"/>
    </row>
    <row r="58" spans="1:12" x14ac:dyDescent="0.2">
      <c r="A58" s="191" t="s">
        <v>214</v>
      </c>
      <c r="B58" s="95"/>
      <c r="C58" s="95"/>
      <c r="D58" s="95"/>
      <c r="E58" s="304">
        <v>8</v>
      </c>
      <c r="F58" s="304">
        <v>3</v>
      </c>
      <c r="G58" s="304">
        <v>5</v>
      </c>
      <c r="H58" s="210">
        <f t="shared" si="3"/>
        <v>0</v>
      </c>
      <c r="I58" s="210">
        <f t="shared" si="3"/>
        <v>0</v>
      </c>
      <c r="J58" s="210">
        <f t="shared" si="3"/>
        <v>0</v>
      </c>
      <c r="K58" s="193"/>
    </row>
    <row r="59" spans="1:12" ht="25.5" x14ac:dyDescent="0.2">
      <c r="A59" s="191" t="s">
        <v>215</v>
      </c>
      <c r="B59" s="95"/>
      <c r="C59" s="95"/>
      <c r="D59" s="95"/>
      <c r="E59" s="304">
        <v>20</v>
      </c>
      <c r="F59" s="304">
        <v>25</v>
      </c>
      <c r="G59" s="304">
        <v>15</v>
      </c>
      <c r="H59" s="210">
        <f t="shared" si="3"/>
        <v>0</v>
      </c>
      <c r="I59" s="210">
        <f t="shared" si="3"/>
        <v>0</v>
      </c>
      <c r="J59" s="210">
        <f t="shared" si="3"/>
        <v>0</v>
      </c>
      <c r="K59" s="193"/>
    </row>
    <row r="60" spans="1:12" ht="25.5" x14ac:dyDescent="0.2">
      <c r="A60" s="191" t="s">
        <v>216</v>
      </c>
      <c r="B60" s="95"/>
      <c r="C60" s="95"/>
      <c r="D60" s="95"/>
      <c r="E60" s="304">
        <v>15</v>
      </c>
      <c r="F60" s="304">
        <v>22</v>
      </c>
      <c r="G60" s="304">
        <v>19</v>
      </c>
      <c r="H60" s="210">
        <f t="shared" si="3"/>
        <v>0</v>
      </c>
      <c r="I60" s="210">
        <f t="shared" si="3"/>
        <v>0</v>
      </c>
      <c r="J60" s="210">
        <f t="shared" si="3"/>
        <v>0</v>
      </c>
      <c r="K60" s="193"/>
    </row>
    <row r="61" spans="1:12" ht="25.5" x14ac:dyDescent="0.2">
      <c r="A61" s="191" t="s">
        <v>217</v>
      </c>
      <c r="B61" s="95"/>
      <c r="C61" s="95"/>
      <c r="D61" s="95"/>
      <c r="E61" s="304">
        <v>10</v>
      </c>
      <c r="F61" s="304">
        <v>6.5</v>
      </c>
      <c r="G61" s="304">
        <v>9</v>
      </c>
      <c r="H61" s="210">
        <f t="shared" si="3"/>
        <v>0</v>
      </c>
      <c r="I61" s="210">
        <f t="shared" si="3"/>
        <v>0</v>
      </c>
      <c r="J61" s="210">
        <f t="shared" si="3"/>
        <v>0</v>
      </c>
      <c r="K61" s="193"/>
    </row>
    <row r="62" spans="1:12" ht="25.5" x14ac:dyDescent="0.2">
      <c r="A62" s="191" t="s">
        <v>218</v>
      </c>
      <c r="B62" s="95"/>
      <c r="C62" s="95"/>
      <c r="D62" s="95"/>
      <c r="E62" s="304">
        <v>6.5</v>
      </c>
      <c r="F62" s="304">
        <v>4</v>
      </c>
      <c r="G62" s="304">
        <v>9</v>
      </c>
      <c r="H62" s="210">
        <f t="shared" si="3"/>
        <v>0</v>
      </c>
      <c r="I62" s="210">
        <f t="shared" si="3"/>
        <v>0</v>
      </c>
      <c r="J62" s="210">
        <f t="shared" si="3"/>
        <v>0</v>
      </c>
      <c r="K62" s="193"/>
    </row>
    <row r="63" spans="1:12" ht="25.5" x14ac:dyDescent="0.2">
      <c r="A63" s="191" t="s">
        <v>219</v>
      </c>
      <c r="B63" s="95"/>
      <c r="C63" s="95"/>
      <c r="D63" s="95"/>
      <c r="E63" s="304">
        <v>7.6</v>
      </c>
      <c r="F63" s="304">
        <v>10.199999999999999</v>
      </c>
      <c r="G63" s="304">
        <v>14.7</v>
      </c>
      <c r="H63" s="210">
        <f t="shared" si="3"/>
        <v>0</v>
      </c>
      <c r="I63" s="210">
        <f>($B63+$C63-$D63)*F63</f>
        <v>0</v>
      </c>
      <c r="J63" s="210">
        <f t="shared" si="3"/>
        <v>0</v>
      </c>
      <c r="K63" s="193"/>
    </row>
    <row r="64" spans="1:12" ht="25.5" x14ac:dyDescent="0.2">
      <c r="A64" s="191" t="s">
        <v>220</v>
      </c>
      <c r="B64" s="95"/>
      <c r="C64" s="95"/>
      <c r="D64" s="95"/>
      <c r="E64" s="304">
        <v>11</v>
      </c>
      <c r="F64" s="304">
        <v>18.3</v>
      </c>
      <c r="G64" s="304">
        <v>20</v>
      </c>
      <c r="H64" s="210">
        <f t="shared" si="3"/>
        <v>0</v>
      </c>
      <c r="I64" s="210">
        <f t="shared" si="3"/>
        <v>0</v>
      </c>
      <c r="J64" s="210">
        <f t="shared" si="3"/>
        <v>0</v>
      </c>
      <c r="K64" s="193"/>
    </row>
    <row r="65" spans="1:11" x14ac:dyDescent="0.2">
      <c r="A65" s="191" t="s">
        <v>221</v>
      </c>
      <c r="B65" s="95"/>
      <c r="C65" s="95"/>
      <c r="D65" s="95"/>
      <c r="E65" s="304">
        <v>20</v>
      </c>
      <c r="F65" s="304">
        <v>24</v>
      </c>
      <c r="G65" s="304">
        <v>19</v>
      </c>
      <c r="H65" s="210">
        <f t="shared" si="3"/>
        <v>0</v>
      </c>
      <c r="I65" s="210">
        <f t="shared" si="3"/>
        <v>0</v>
      </c>
      <c r="J65" s="210">
        <f t="shared" si="3"/>
        <v>0</v>
      </c>
      <c r="K65" s="193"/>
    </row>
    <row r="66" spans="1:11" ht="38.25" x14ac:dyDescent="0.2">
      <c r="A66" s="191" t="s">
        <v>222</v>
      </c>
      <c r="B66" s="95"/>
      <c r="C66" s="95"/>
      <c r="D66" s="95"/>
      <c r="E66" s="304">
        <v>15</v>
      </c>
      <c r="F66" s="304">
        <v>8</v>
      </c>
      <c r="G66" s="304">
        <v>15</v>
      </c>
      <c r="H66" s="210">
        <f t="shared" si="3"/>
        <v>0</v>
      </c>
      <c r="I66" s="210">
        <f t="shared" si="3"/>
        <v>0</v>
      </c>
      <c r="J66" s="210">
        <f t="shared" si="3"/>
        <v>0</v>
      </c>
      <c r="K66" s="193"/>
    </row>
    <row r="67" spans="1:11" ht="25.5" x14ac:dyDescent="0.2">
      <c r="A67" s="191" t="s">
        <v>223</v>
      </c>
      <c r="B67" s="95"/>
      <c r="C67" s="95"/>
      <c r="D67" s="95"/>
      <c r="E67" s="305">
        <v>0.40000000596046448</v>
      </c>
      <c r="F67" s="305">
        <v>0.20000000298023224</v>
      </c>
      <c r="G67" s="304">
        <v>0.5</v>
      </c>
      <c r="H67" s="210">
        <f t="shared" si="3"/>
        <v>0</v>
      </c>
      <c r="I67" s="210">
        <f t="shared" si="3"/>
        <v>0</v>
      </c>
      <c r="J67" s="210">
        <f t="shared" si="3"/>
        <v>0</v>
      </c>
      <c r="K67" s="193"/>
    </row>
    <row r="68" spans="1:11" ht="25.5" x14ac:dyDescent="0.2">
      <c r="A68" s="194" t="s">
        <v>224</v>
      </c>
      <c r="B68" s="95"/>
      <c r="C68" s="95"/>
      <c r="D68" s="95"/>
      <c r="E68" s="304">
        <v>15</v>
      </c>
      <c r="F68" s="304">
        <v>14</v>
      </c>
      <c r="G68" s="304">
        <v>12</v>
      </c>
      <c r="H68" s="210">
        <f t="shared" si="3"/>
        <v>0</v>
      </c>
      <c r="I68" s="210">
        <f t="shared" si="3"/>
        <v>0</v>
      </c>
      <c r="J68" s="210">
        <f t="shared" si="3"/>
        <v>0</v>
      </c>
      <c r="K68" s="193"/>
    </row>
    <row r="69" spans="1:11" ht="25.5" x14ac:dyDescent="0.2">
      <c r="A69" s="194" t="s">
        <v>225</v>
      </c>
      <c r="B69" s="95"/>
      <c r="C69" s="95"/>
      <c r="D69" s="95"/>
      <c r="E69" s="304">
        <v>30</v>
      </c>
      <c r="F69" s="304">
        <v>36</v>
      </c>
      <c r="G69" s="304">
        <v>24</v>
      </c>
      <c r="H69" s="210">
        <f t="shared" si="3"/>
        <v>0</v>
      </c>
      <c r="I69" s="210">
        <f t="shared" si="3"/>
        <v>0</v>
      </c>
      <c r="J69" s="210">
        <f t="shared" si="3"/>
        <v>0</v>
      </c>
      <c r="K69" s="193"/>
    </row>
    <row r="70" spans="1:11" ht="25.5" x14ac:dyDescent="0.2">
      <c r="A70" s="194" t="s">
        <v>226</v>
      </c>
      <c r="B70" s="95"/>
      <c r="C70" s="95"/>
      <c r="D70" s="95"/>
      <c r="E70" s="304">
        <v>40</v>
      </c>
      <c r="F70" s="304">
        <v>38</v>
      </c>
      <c r="G70" s="304">
        <v>25</v>
      </c>
      <c r="H70" s="210">
        <f t="shared" si="3"/>
        <v>0</v>
      </c>
      <c r="I70" s="210">
        <f t="shared" si="3"/>
        <v>0</v>
      </c>
      <c r="J70" s="210">
        <f t="shared" si="3"/>
        <v>0</v>
      </c>
      <c r="K70" s="193"/>
    </row>
    <row r="71" spans="1:11" ht="38.25" x14ac:dyDescent="0.2">
      <c r="A71" s="194" t="s">
        <v>227</v>
      </c>
      <c r="B71" s="95"/>
      <c r="C71" s="95"/>
      <c r="D71" s="95"/>
      <c r="E71" s="305">
        <v>4.1999998092651367</v>
      </c>
      <c r="F71" s="304">
        <v>2</v>
      </c>
      <c r="G71" s="304">
        <v>4</v>
      </c>
      <c r="H71" s="210">
        <f t="shared" si="3"/>
        <v>0</v>
      </c>
      <c r="I71" s="210">
        <f t="shared" si="3"/>
        <v>0</v>
      </c>
      <c r="J71" s="210">
        <f t="shared" si="3"/>
        <v>0</v>
      </c>
      <c r="K71" s="193"/>
    </row>
    <row r="72" spans="1:11" x14ac:dyDescent="0.2">
      <c r="A72" s="194" t="s">
        <v>228</v>
      </c>
      <c r="B72" s="95"/>
      <c r="C72" s="95"/>
      <c r="D72" s="95"/>
      <c r="E72" s="304">
        <v>5</v>
      </c>
      <c r="F72" s="304">
        <v>3</v>
      </c>
      <c r="G72" s="304">
        <v>4</v>
      </c>
      <c r="H72" s="210">
        <f t="shared" si="3"/>
        <v>0</v>
      </c>
      <c r="I72" s="210">
        <f t="shared" si="3"/>
        <v>0</v>
      </c>
      <c r="J72" s="210">
        <f t="shared" si="3"/>
        <v>0</v>
      </c>
      <c r="K72" s="193"/>
    </row>
    <row r="73" spans="1:11" x14ac:dyDescent="0.2">
      <c r="A73" s="194" t="s">
        <v>229</v>
      </c>
      <c r="B73" s="95"/>
      <c r="C73" s="95"/>
      <c r="D73" s="95"/>
      <c r="E73" s="304">
        <v>4.5</v>
      </c>
      <c r="F73" s="304">
        <v>5</v>
      </c>
      <c r="G73" s="304">
        <v>3</v>
      </c>
      <c r="H73" s="210">
        <f t="shared" si="3"/>
        <v>0</v>
      </c>
      <c r="I73" s="210">
        <f t="shared" si="3"/>
        <v>0</v>
      </c>
      <c r="J73" s="210">
        <f t="shared" si="3"/>
        <v>0</v>
      </c>
      <c r="K73" s="193"/>
    </row>
    <row r="74" spans="1:11" x14ac:dyDescent="0.2">
      <c r="A74" s="194" t="s">
        <v>230</v>
      </c>
      <c r="B74" s="95"/>
      <c r="C74" s="95"/>
      <c r="D74" s="95"/>
      <c r="E74" s="304">
        <v>6</v>
      </c>
      <c r="F74" s="304">
        <v>3</v>
      </c>
      <c r="G74" s="304">
        <v>10</v>
      </c>
      <c r="H74" s="210">
        <f t="shared" si="3"/>
        <v>0</v>
      </c>
      <c r="I74" s="210">
        <f t="shared" si="3"/>
        <v>0</v>
      </c>
      <c r="J74" s="210">
        <f t="shared" si="3"/>
        <v>0</v>
      </c>
      <c r="K74" s="193"/>
    </row>
    <row r="75" spans="1:11" ht="25.5" x14ac:dyDescent="0.2">
      <c r="A75" s="194" t="s">
        <v>231</v>
      </c>
      <c r="B75" s="95"/>
      <c r="C75" s="95"/>
      <c r="D75" s="95"/>
      <c r="E75" s="304">
        <v>13</v>
      </c>
      <c r="F75" s="304">
        <v>24</v>
      </c>
      <c r="G75" s="304">
        <v>18</v>
      </c>
      <c r="H75" s="210">
        <f t="shared" si="3"/>
        <v>0</v>
      </c>
      <c r="I75" s="210">
        <f t="shared" si="3"/>
        <v>0</v>
      </c>
      <c r="J75" s="210">
        <f t="shared" si="3"/>
        <v>0</v>
      </c>
      <c r="K75" s="193"/>
    </row>
    <row r="76" spans="1:11" ht="25.5" x14ac:dyDescent="0.2">
      <c r="A76" s="194" t="s">
        <v>232</v>
      </c>
      <c r="B76" s="95"/>
      <c r="C76" s="95"/>
      <c r="D76" s="95"/>
      <c r="E76" s="304">
        <v>11</v>
      </c>
      <c r="F76" s="304">
        <v>18</v>
      </c>
      <c r="G76" s="304">
        <v>13</v>
      </c>
      <c r="H76" s="210">
        <f t="shared" si="3"/>
        <v>0</v>
      </c>
      <c r="I76" s="210">
        <f t="shared" si="3"/>
        <v>0</v>
      </c>
      <c r="J76" s="210">
        <f t="shared" si="3"/>
        <v>0</v>
      </c>
      <c r="K76" s="193"/>
    </row>
    <row r="77" spans="1:11" x14ac:dyDescent="0.2">
      <c r="A77" s="194" t="s">
        <v>233</v>
      </c>
      <c r="B77" s="95"/>
      <c r="C77" s="95"/>
      <c r="D77" s="95"/>
      <c r="E77" s="304">
        <v>8</v>
      </c>
      <c r="F77" s="304">
        <v>12.5</v>
      </c>
      <c r="G77" s="304">
        <v>7.1</v>
      </c>
      <c r="H77" s="210">
        <f t="shared" si="3"/>
        <v>0</v>
      </c>
      <c r="I77" s="210">
        <f t="shared" si="3"/>
        <v>0</v>
      </c>
      <c r="J77" s="210">
        <f t="shared" si="3"/>
        <v>0</v>
      </c>
      <c r="K77" s="193"/>
    </row>
    <row r="78" spans="1:11" ht="25.5" x14ac:dyDescent="0.2">
      <c r="A78" s="191" t="s">
        <v>234</v>
      </c>
      <c r="B78" s="95"/>
      <c r="C78" s="95"/>
      <c r="D78" s="95"/>
      <c r="E78" s="304">
        <v>24</v>
      </c>
      <c r="F78" s="304">
        <v>23</v>
      </c>
      <c r="G78" s="304">
        <v>18</v>
      </c>
      <c r="H78" s="210">
        <f>($B78+$C78-$D78)*E78</f>
        <v>0</v>
      </c>
      <c r="I78" s="210">
        <f t="shared" si="3"/>
        <v>0</v>
      </c>
      <c r="J78" s="210">
        <f t="shared" si="3"/>
        <v>0</v>
      </c>
      <c r="K78" s="193"/>
    </row>
    <row r="79" spans="1:11" ht="25.5" x14ac:dyDescent="0.2">
      <c r="A79" s="191" t="s">
        <v>235</v>
      </c>
      <c r="B79" s="95"/>
      <c r="C79" s="95"/>
      <c r="D79" s="95"/>
      <c r="E79" s="304">
        <v>32</v>
      </c>
      <c r="F79" s="304">
        <v>25</v>
      </c>
      <c r="G79" s="304">
        <v>20</v>
      </c>
      <c r="H79" s="210">
        <f t="shared" si="3"/>
        <v>0</v>
      </c>
      <c r="I79" s="210">
        <f t="shared" si="3"/>
        <v>0</v>
      </c>
      <c r="J79" s="210">
        <f t="shared" si="3"/>
        <v>0</v>
      </c>
      <c r="K79" s="193"/>
    </row>
    <row r="80" spans="1:11" ht="38.25" x14ac:dyDescent="0.2">
      <c r="A80" s="194" t="s">
        <v>236</v>
      </c>
      <c r="B80" s="95"/>
      <c r="C80" s="95"/>
      <c r="D80" s="95"/>
      <c r="E80" s="304">
        <v>7.2</v>
      </c>
      <c r="F80" s="304">
        <v>7</v>
      </c>
      <c r="G80" s="304">
        <v>10.199999999999999</v>
      </c>
      <c r="H80" s="210">
        <f t="shared" si="3"/>
        <v>0</v>
      </c>
      <c r="I80" s="210">
        <f t="shared" si="3"/>
        <v>0</v>
      </c>
      <c r="J80" s="210">
        <f t="shared" si="3"/>
        <v>0</v>
      </c>
      <c r="K80" s="193"/>
    </row>
    <row r="81" spans="1:11" ht="25.5" x14ac:dyDescent="0.2">
      <c r="A81" s="194" t="s">
        <v>237</v>
      </c>
      <c r="B81" s="95"/>
      <c r="C81" s="95"/>
      <c r="D81" s="95"/>
      <c r="E81" s="304">
        <v>7</v>
      </c>
      <c r="F81" s="304">
        <v>10</v>
      </c>
      <c r="G81" s="304">
        <v>9</v>
      </c>
      <c r="H81" s="210">
        <f t="shared" si="3"/>
        <v>0</v>
      </c>
      <c r="I81" s="210">
        <f t="shared" si="3"/>
        <v>0</v>
      </c>
      <c r="J81" s="210">
        <f>($B81+$C81-$D81)*G81</f>
        <v>0</v>
      </c>
      <c r="K81" s="193"/>
    </row>
    <row r="82" spans="1:11" ht="25.5" x14ac:dyDescent="0.2">
      <c r="A82" s="194" t="s">
        <v>238</v>
      </c>
      <c r="B82" s="95"/>
      <c r="C82" s="95"/>
      <c r="D82" s="95"/>
      <c r="E82" s="304">
        <v>4</v>
      </c>
      <c r="F82" s="304">
        <v>2</v>
      </c>
      <c r="G82" s="304">
        <v>4</v>
      </c>
      <c r="H82" s="210">
        <f t="shared" si="3"/>
        <v>0</v>
      </c>
      <c r="I82" s="210">
        <f t="shared" si="3"/>
        <v>0</v>
      </c>
      <c r="J82" s="210">
        <f t="shared" si="3"/>
        <v>0</v>
      </c>
      <c r="K82" s="193"/>
    </row>
    <row r="83" spans="1:11" ht="25.5" x14ac:dyDescent="0.2">
      <c r="A83" s="191" t="s">
        <v>239</v>
      </c>
      <c r="B83" s="95"/>
      <c r="C83" s="95"/>
      <c r="D83" s="95"/>
      <c r="E83" s="304">
        <v>18</v>
      </c>
      <c r="F83" s="304">
        <v>30</v>
      </c>
      <c r="G83" s="304">
        <v>21</v>
      </c>
      <c r="H83" s="210">
        <f t="shared" si="3"/>
        <v>0</v>
      </c>
      <c r="I83" s="210">
        <f t="shared" si="3"/>
        <v>0</v>
      </c>
      <c r="J83" s="210">
        <f t="shared" si="3"/>
        <v>0</v>
      </c>
      <c r="K83" s="193"/>
    </row>
    <row r="84" spans="1:11" ht="25.5" x14ac:dyDescent="0.2">
      <c r="A84" s="191" t="s">
        <v>240</v>
      </c>
      <c r="B84" s="95"/>
      <c r="C84" s="95"/>
      <c r="D84" s="95"/>
      <c r="E84" s="304">
        <v>22</v>
      </c>
      <c r="F84" s="304">
        <v>40</v>
      </c>
      <c r="G84" s="304">
        <v>25</v>
      </c>
      <c r="H84" s="210">
        <f t="shared" si="3"/>
        <v>0</v>
      </c>
      <c r="I84" s="210">
        <f t="shared" si="3"/>
        <v>0</v>
      </c>
      <c r="J84" s="210">
        <f t="shared" si="3"/>
        <v>0</v>
      </c>
      <c r="K84" s="193"/>
    </row>
    <row r="85" spans="1:11" ht="25.5" x14ac:dyDescent="0.2">
      <c r="A85" s="194" t="s">
        <v>241</v>
      </c>
      <c r="B85" s="95"/>
      <c r="C85" s="95"/>
      <c r="D85" s="95"/>
      <c r="E85" s="304">
        <v>22</v>
      </c>
      <c r="F85" s="304">
        <v>23</v>
      </c>
      <c r="G85" s="304">
        <v>18</v>
      </c>
      <c r="H85" s="210">
        <f t="shared" si="3"/>
        <v>0</v>
      </c>
      <c r="I85" s="210">
        <f t="shared" si="3"/>
        <v>0</v>
      </c>
      <c r="J85" s="210">
        <f t="shared" si="3"/>
        <v>0</v>
      </c>
      <c r="K85" s="193"/>
    </row>
    <row r="86" spans="1:11" ht="25.5" x14ac:dyDescent="0.2">
      <c r="A86" s="194" t="s">
        <v>242</v>
      </c>
      <c r="B86" s="95"/>
      <c r="C86" s="95"/>
      <c r="D86" s="95"/>
      <c r="E86" s="304">
        <v>30</v>
      </c>
      <c r="F86" s="304">
        <v>27</v>
      </c>
      <c r="G86" s="304">
        <v>20</v>
      </c>
      <c r="H86" s="210">
        <f t="shared" ref="H86:J112" si="4">($B86+$C86-$D86)*E86</f>
        <v>0</v>
      </c>
      <c r="I86" s="210">
        <f t="shared" si="4"/>
        <v>0</v>
      </c>
      <c r="J86" s="210">
        <f t="shared" si="4"/>
        <v>0</v>
      </c>
      <c r="K86" s="193"/>
    </row>
    <row r="87" spans="1:11" ht="25.5" x14ac:dyDescent="0.2">
      <c r="A87" s="194" t="s">
        <v>243</v>
      </c>
      <c r="B87" s="95"/>
      <c r="C87" s="95"/>
      <c r="D87" s="95"/>
      <c r="E87" s="304">
        <v>15</v>
      </c>
      <c r="F87" s="304">
        <v>17</v>
      </c>
      <c r="G87" s="304">
        <v>14</v>
      </c>
      <c r="H87" s="210">
        <f t="shared" si="4"/>
        <v>0</v>
      </c>
      <c r="I87" s="210">
        <f t="shared" si="4"/>
        <v>0</v>
      </c>
      <c r="J87" s="210">
        <f t="shared" si="4"/>
        <v>0</v>
      </c>
      <c r="K87" s="193"/>
    </row>
    <row r="88" spans="1:11" ht="25.5" x14ac:dyDescent="0.2">
      <c r="A88" s="194" t="s">
        <v>244</v>
      </c>
      <c r="B88" s="95"/>
      <c r="C88" s="95"/>
      <c r="D88" s="95"/>
      <c r="E88" s="304">
        <v>20</v>
      </c>
      <c r="F88" s="304">
        <v>18</v>
      </c>
      <c r="G88" s="304">
        <v>15</v>
      </c>
      <c r="H88" s="210">
        <f t="shared" si="4"/>
        <v>0</v>
      </c>
      <c r="I88" s="210">
        <f t="shared" si="4"/>
        <v>0</v>
      </c>
      <c r="J88" s="210">
        <f t="shared" si="4"/>
        <v>0</v>
      </c>
      <c r="K88" s="193"/>
    </row>
    <row r="89" spans="1:11" ht="25.5" x14ac:dyDescent="0.2">
      <c r="A89" s="194" t="s">
        <v>245</v>
      </c>
      <c r="B89" s="95"/>
      <c r="C89" s="95"/>
      <c r="D89" s="95"/>
      <c r="E89" s="304">
        <v>18</v>
      </c>
      <c r="F89" s="304">
        <v>20</v>
      </c>
      <c r="G89" s="304">
        <v>15</v>
      </c>
      <c r="H89" s="210">
        <f t="shared" si="4"/>
        <v>0</v>
      </c>
      <c r="I89" s="210">
        <f t="shared" si="4"/>
        <v>0</v>
      </c>
      <c r="J89" s="210">
        <f t="shared" si="4"/>
        <v>0</v>
      </c>
      <c r="K89" s="193"/>
    </row>
    <row r="90" spans="1:11" x14ac:dyDescent="0.2">
      <c r="A90" s="194" t="s">
        <v>246</v>
      </c>
      <c r="B90" s="95"/>
      <c r="C90" s="95"/>
      <c r="D90" s="95"/>
      <c r="E90" s="304">
        <v>25</v>
      </c>
      <c r="F90" s="304">
        <v>25</v>
      </c>
      <c r="G90" s="304">
        <v>18</v>
      </c>
      <c r="H90" s="210">
        <f t="shared" si="4"/>
        <v>0</v>
      </c>
      <c r="I90" s="210">
        <f t="shared" si="4"/>
        <v>0</v>
      </c>
      <c r="J90" s="210">
        <f t="shared" si="4"/>
        <v>0</v>
      </c>
      <c r="K90" s="193"/>
    </row>
    <row r="91" spans="1:11" ht="25.5" x14ac:dyDescent="0.2">
      <c r="A91" s="194" t="s">
        <v>247</v>
      </c>
      <c r="B91" s="95"/>
      <c r="C91" s="95"/>
      <c r="D91" s="95"/>
      <c r="E91" s="304">
        <v>5.5</v>
      </c>
      <c r="F91" s="304">
        <v>2.5</v>
      </c>
      <c r="G91" s="304">
        <v>8</v>
      </c>
      <c r="H91" s="210">
        <f t="shared" si="4"/>
        <v>0</v>
      </c>
      <c r="I91" s="210">
        <f t="shared" si="4"/>
        <v>0</v>
      </c>
      <c r="J91" s="210">
        <f t="shared" si="4"/>
        <v>0</v>
      </c>
      <c r="K91" s="193"/>
    </row>
    <row r="92" spans="1:11" x14ac:dyDescent="0.2">
      <c r="A92" s="194" t="s">
        <v>248</v>
      </c>
      <c r="B92" s="95"/>
      <c r="C92" s="95"/>
      <c r="D92" s="95"/>
      <c r="E92" s="304">
        <v>4</v>
      </c>
      <c r="F92" s="304">
        <v>1.5</v>
      </c>
      <c r="G92" s="304">
        <v>3</v>
      </c>
      <c r="H92" s="210">
        <f t="shared" si="4"/>
        <v>0</v>
      </c>
      <c r="I92" s="210">
        <f t="shared" si="4"/>
        <v>0</v>
      </c>
      <c r="J92" s="210">
        <f t="shared" si="4"/>
        <v>0</v>
      </c>
      <c r="K92" s="193"/>
    </row>
    <row r="93" spans="1:11" x14ac:dyDescent="0.2">
      <c r="A93" s="194" t="s">
        <v>249</v>
      </c>
      <c r="B93" s="95"/>
      <c r="C93" s="95"/>
      <c r="D93" s="95"/>
      <c r="E93" s="304">
        <v>6</v>
      </c>
      <c r="F93" s="304">
        <v>4</v>
      </c>
      <c r="G93" s="304">
        <v>10</v>
      </c>
      <c r="H93" s="210">
        <f t="shared" si="4"/>
        <v>0</v>
      </c>
      <c r="I93" s="210">
        <f t="shared" si="4"/>
        <v>0</v>
      </c>
      <c r="J93" s="210">
        <f t="shared" si="4"/>
        <v>0</v>
      </c>
      <c r="K93" s="193"/>
    </row>
    <row r="94" spans="1:11" ht="25.5" x14ac:dyDescent="0.2">
      <c r="A94" s="194" t="s">
        <v>250</v>
      </c>
      <c r="B94" s="95"/>
      <c r="C94" s="95"/>
      <c r="D94" s="95"/>
      <c r="E94" s="304">
        <v>5</v>
      </c>
      <c r="F94" s="304">
        <v>3</v>
      </c>
      <c r="G94" s="304">
        <v>4</v>
      </c>
      <c r="H94" s="210">
        <f t="shared" si="4"/>
        <v>0</v>
      </c>
      <c r="I94" s="210">
        <f t="shared" si="4"/>
        <v>0</v>
      </c>
      <c r="J94" s="210">
        <f t="shared" si="4"/>
        <v>0</v>
      </c>
      <c r="K94" s="193"/>
    </row>
    <row r="95" spans="1:11" x14ac:dyDescent="0.2">
      <c r="A95" s="194" t="s">
        <v>251</v>
      </c>
      <c r="B95" s="95"/>
      <c r="C95" s="95"/>
      <c r="D95" s="95"/>
      <c r="E95" s="304">
        <v>4.5</v>
      </c>
      <c r="F95" s="304">
        <v>5</v>
      </c>
      <c r="G95" s="304">
        <v>3</v>
      </c>
      <c r="H95" s="210">
        <f t="shared" si="4"/>
        <v>0</v>
      </c>
      <c r="I95" s="210">
        <f t="shared" si="4"/>
        <v>0</v>
      </c>
      <c r="J95" s="210">
        <f t="shared" si="4"/>
        <v>0</v>
      </c>
      <c r="K95" s="193"/>
    </row>
    <row r="96" spans="1:11" x14ac:dyDescent="0.2">
      <c r="A96" s="194" t="s">
        <v>252</v>
      </c>
      <c r="B96" s="95"/>
      <c r="C96" s="95"/>
      <c r="D96" s="95"/>
      <c r="E96" s="304">
        <v>4</v>
      </c>
      <c r="F96" s="304">
        <v>5.5</v>
      </c>
      <c r="G96" s="304">
        <v>4.5999999999999996</v>
      </c>
      <c r="H96" s="210">
        <f t="shared" si="4"/>
        <v>0</v>
      </c>
      <c r="I96" s="210">
        <f t="shared" si="4"/>
        <v>0</v>
      </c>
      <c r="J96" s="210">
        <f t="shared" si="4"/>
        <v>0</v>
      </c>
      <c r="K96" s="193"/>
    </row>
    <row r="97" spans="1:11" ht="25.5" x14ac:dyDescent="0.2">
      <c r="A97" s="194" t="s">
        <v>253</v>
      </c>
      <c r="B97" s="95"/>
      <c r="C97" s="95"/>
      <c r="D97" s="95"/>
      <c r="E97" s="304">
        <v>7.9</v>
      </c>
      <c r="F97" s="304">
        <v>4.9000000000000004</v>
      </c>
      <c r="G97" s="304">
        <v>5.8</v>
      </c>
      <c r="H97" s="210">
        <f t="shared" si="4"/>
        <v>0</v>
      </c>
      <c r="I97" s="210">
        <f t="shared" si="4"/>
        <v>0</v>
      </c>
      <c r="J97" s="210">
        <f t="shared" si="4"/>
        <v>0</v>
      </c>
      <c r="K97" s="193"/>
    </row>
    <row r="98" spans="1:11" ht="25.5" x14ac:dyDescent="0.2">
      <c r="A98" s="194" t="s">
        <v>254</v>
      </c>
      <c r="B98" s="95"/>
      <c r="C98" s="95"/>
      <c r="D98" s="95"/>
      <c r="E98" s="305">
        <v>2.2999999523162842</v>
      </c>
      <c r="F98" s="305">
        <v>1.7000000476837158</v>
      </c>
      <c r="G98" s="305">
        <v>1.7000000476837158</v>
      </c>
      <c r="H98" s="210">
        <f t="shared" si="4"/>
        <v>0</v>
      </c>
      <c r="I98" s="210">
        <f t="shared" si="4"/>
        <v>0</v>
      </c>
      <c r="J98" s="210">
        <f t="shared" si="4"/>
        <v>0</v>
      </c>
      <c r="K98" s="193"/>
    </row>
    <row r="99" spans="1:11" ht="25.5" x14ac:dyDescent="0.2">
      <c r="A99" s="194" t="s">
        <v>255</v>
      </c>
      <c r="B99" s="95"/>
      <c r="C99" s="95"/>
      <c r="D99" s="95"/>
      <c r="E99" s="305">
        <v>3.5</v>
      </c>
      <c r="F99" s="305">
        <v>2.2000000476837158</v>
      </c>
      <c r="G99" s="305">
        <v>2.9000000953674316</v>
      </c>
      <c r="H99" s="210">
        <f t="shared" si="4"/>
        <v>0</v>
      </c>
      <c r="I99" s="210">
        <f t="shared" si="4"/>
        <v>0</v>
      </c>
      <c r="J99" s="210">
        <f t="shared" si="4"/>
        <v>0</v>
      </c>
      <c r="K99" s="193"/>
    </row>
    <row r="100" spans="1:11" ht="25.5" x14ac:dyDescent="0.2">
      <c r="A100" s="194" t="s">
        <v>256</v>
      </c>
      <c r="B100" s="95"/>
      <c r="C100" s="95"/>
      <c r="D100" s="95"/>
      <c r="E100" s="305">
        <v>4.4000000953674316</v>
      </c>
      <c r="F100" s="305">
        <v>2.7999999523162842</v>
      </c>
      <c r="G100" s="305">
        <v>3.2999999523162842</v>
      </c>
      <c r="H100" s="210">
        <f t="shared" si="4"/>
        <v>0</v>
      </c>
      <c r="I100" s="210">
        <f t="shared" si="4"/>
        <v>0</v>
      </c>
      <c r="J100" s="210">
        <f t="shared" si="4"/>
        <v>0</v>
      </c>
      <c r="K100" s="193"/>
    </row>
    <row r="101" spans="1:11" ht="25.5" x14ac:dyDescent="0.2">
      <c r="A101" s="194" t="s">
        <v>257</v>
      </c>
      <c r="B101" s="95"/>
      <c r="C101" s="95"/>
      <c r="D101" s="95"/>
      <c r="E101" s="305">
        <v>6.0999999046325684</v>
      </c>
      <c r="F101" s="305">
        <v>3.7999999523162842</v>
      </c>
      <c r="G101" s="305">
        <v>4.5</v>
      </c>
      <c r="H101" s="210">
        <f t="shared" si="4"/>
        <v>0</v>
      </c>
      <c r="I101" s="210">
        <f t="shared" si="4"/>
        <v>0</v>
      </c>
      <c r="J101" s="210">
        <f t="shared" si="4"/>
        <v>0</v>
      </c>
      <c r="K101" s="193"/>
    </row>
    <row r="102" spans="1:11" ht="25.5" x14ac:dyDescent="0.2">
      <c r="A102" s="194" t="s">
        <v>258</v>
      </c>
      <c r="B102" s="95"/>
      <c r="C102" s="95"/>
      <c r="D102" s="95"/>
      <c r="E102" s="306">
        <v>7</v>
      </c>
      <c r="F102" s="306">
        <v>9</v>
      </c>
      <c r="G102" s="306">
        <v>6</v>
      </c>
      <c r="H102" s="210">
        <f t="shared" si="4"/>
        <v>0</v>
      </c>
      <c r="I102" s="210">
        <f t="shared" si="4"/>
        <v>0</v>
      </c>
      <c r="J102" s="210">
        <f t="shared" si="4"/>
        <v>0</v>
      </c>
      <c r="K102" s="193"/>
    </row>
    <row r="103" spans="1:11" ht="25.5" x14ac:dyDescent="0.2">
      <c r="A103" s="194" t="s">
        <v>259</v>
      </c>
      <c r="B103" s="95"/>
      <c r="C103" s="95"/>
      <c r="D103" s="95"/>
      <c r="E103" s="305">
        <v>1.5</v>
      </c>
      <c r="F103" s="305">
        <v>0.60000002384185791</v>
      </c>
      <c r="G103" s="305">
        <v>1.6000000238418579</v>
      </c>
      <c r="H103" s="210">
        <f t="shared" si="4"/>
        <v>0</v>
      </c>
      <c r="I103" s="210">
        <f t="shared" si="4"/>
        <v>0</v>
      </c>
      <c r="J103" s="210">
        <f t="shared" si="4"/>
        <v>0</v>
      </c>
      <c r="K103" s="193"/>
    </row>
    <row r="104" spans="1:11" ht="25.5" x14ac:dyDescent="0.2">
      <c r="A104" s="194" t="s">
        <v>260</v>
      </c>
      <c r="B104" s="95"/>
      <c r="C104" s="95"/>
      <c r="D104" s="95"/>
      <c r="E104" s="305">
        <v>4.5</v>
      </c>
      <c r="F104" s="306">
        <v>2</v>
      </c>
      <c r="G104" s="306">
        <v>5</v>
      </c>
      <c r="H104" s="210">
        <f t="shared" si="4"/>
        <v>0</v>
      </c>
      <c r="I104" s="210">
        <f t="shared" si="4"/>
        <v>0</v>
      </c>
      <c r="J104" s="210">
        <f t="shared" si="4"/>
        <v>0</v>
      </c>
      <c r="K104" s="193"/>
    </row>
    <row r="105" spans="1:11" ht="38.25" x14ac:dyDescent="0.2">
      <c r="A105" s="194" t="s">
        <v>261</v>
      </c>
      <c r="B105" s="95"/>
      <c r="C105" s="95"/>
      <c r="D105" s="95"/>
      <c r="E105" s="305">
        <v>2.7999999523162842</v>
      </c>
      <c r="F105" s="305">
        <v>1.3</v>
      </c>
      <c r="G105" s="305">
        <v>2.7000000476837158</v>
      </c>
      <c r="H105" s="210">
        <f t="shared" si="4"/>
        <v>0</v>
      </c>
      <c r="I105" s="210">
        <f t="shared" si="4"/>
        <v>0</v>
      </c>
      <c r="J105" s="210">
        <f t="shared" si="4"/>
        <v>0</v>
      </c>
      <c r="K105" s="193"/>
    </row>
    <row r="106" spans="1:11" x14ac:dyDescent="0.2">
      <c r="A106" s="212" t="s">
        <v>262</v>
      </c>
      <c r="B106" s="95"/>
      <c r="C106" s="95"/>
      <c r="D106" s="95"/>
      <c r="E106" s="305">
        <v>2.5</v>
      </c>
      <c r="F106" s="305">
        <v>1.5</v>
      </c>
      <c r="G106" s="306">
        <v>3</v>
      </c>
      <c r="H106" s="210">
        <f t="shared" si="4"/>
        <v>0</v>
      </c>
      <c r="I106" s="210">
        <f t="shared" si="4"/>
        <v>0</v>
      </c>
      <c r="J106" s="210">
        <f t="shared" si="4"/>
        <v>0</v>
      </c>
      <c r="K106" s="193"/>
    </row>
    <row r="107" spans="1:11" x14ac:dyDescent="0.2">
      <c r="A107" s="212" t="s">
        <v>263</v>
      </c>
      <c r="B107" s="95"/>
      <c r="C107" s="95"/>
      <c r="D107" s="95"/>
      <c r="E107" s="305">
        <v>7.6999998092651367</v>
      </c>
      <c r="F107" s="305">
        <v>4.5999999999999996</v>
      </c>
      <c r="G107" s="305">
        <v>12.3</v>
      </c>
      <c r="H107" s="210">
        <f t="shared" si="4"/>
        <v>0</v>
      </c>
      <c r="I107" s="210">
        <f t="shared" si="4"/>
        <v>0</v>
      </c>
      <c r="J107" s="210">
        <f t="shared" si="4"/>
        <v>0</v>
      </c>
      <c r="K107" s="193"/>
    </row>
    <row r="108" spans="1:11" x14ac:dyDescent="0.2">
      <c r="A108" s="213" t="s">
        <v>264</v>
      </c>
      <c r="B108" s="95"/>
      <c r="C108" s="95"/>
      <c r="D108" s="95"/>
      <c r="E108" s="305">
        <v>27.5</v>
      </c>
      <c r="F108" s="305">
        <v>2.6</v>
      </c>
      <c r="G108" s="305">
        <v>6</v>
      </c>
      <c r="H108" s="210">
        <f t="shared" si="4"/>
        <v>0</v>
      </c>
      <c r="I108" s="210">
        <f t="shared" si="4"/>
        <v>0</v>
      </c>
      <c r="J108" s="210">
        <f t="shared" si="4"/>
        <v>0</v>
      </c>
      <c r="K108" s="193"/>
    </row>
    <row r="109" spans="1:11" x14ac:dyDescent="0.2">
      <c r="A109" s="213" t="s">
        <v>265</v>
      </c>
      <c r="B109" s="95"/>
      <c r="C109" s="95"/>
      <c r="D109" s="95"/>
      <c r="E109" s="306">
        <v>2</v>
      </c>
      <c r="F109" s="305">
        <v>0.9</v>
      </c>
      <c r="G109" s="305">
        <v>5.7</v>
      </c>
      <c r="H109" s="210">
        <f t="shared" si="4"/>
        <v>0</v>
      </c>
      <c r="I109" s="210">
        <f t="shared" si="4"/>
        <v>0</v>
      </c>
      <c r="J109" s="210">
        <f t="shared" si="4"/>
        <v>0</v>
      </c>
      <c r="K109" s="193"/>
    </row>
    <row r="110" spans="1:11" x14ac:dyDescent="0.2">
      <c r="A110" s="213" t="s">
        <v>266</v>
      </c>
      <c r="B110" s="95"/>
      <c r="C110" s="95"/>
      <c r="D110" s="95"/>
      <c r="E110" s="306">
        <v>25</v>
      </c>
      <c r="F110" s="305">
        <v>5</v>
      </c>
      <c r="G110" s="305">
        <v>20</v>
      </c>
      <c r="H110" s="210">
        <f t="shared" si="4"/>
        <v>0</v>
      </c>
      <c r="I110" s="210">
        <f t="shared" si="4"/>
        <v>0</v>
      </c>
      <c r="J110" s="210">
        <f t="shared" si="4"/>
        <v>0</v>
      </c>
      <c r="K110" s="193"/>
    </row>
    <row r="111" spans="1:11" x14ac:dyDescent="0.2">
      <c r="A111" s="213" t="s">
        <v>197</v>
      </c>
      <c r="B111" s="95"/>
      <c r="C111" s="95"/>
      <c r="D111" s="95"/>
      <c r="E111" s="95"/>
      <c r="F111" s="95"/>
      <c r="G111" s="95"/>
      <c r="H111" s="210">
        <f>($B111+$C111-$D111)*E111</f>
        <v>0</v>
      </c>
      <c r="I111" s="210">
        <f>($B111+$C111-$D111)*F111</f>
        <v>0</v>
      </c>
      <c r="J111" s="210">
        <f>($B111+$C111-$D111)*G111</f>
        <v>0</v>
      </c>
      <c r="K111" s="193"/>
    </row>
    <row r="112" spans="1:11" x14ac:dyDescent="0.2">
      <c r="A112" s="213" t="s">
        <v>197</v>
      </c>
      <c r="B112" s="95"/>
      <c r="C112" s="95"/>
      <c r="D112" s="95"/>
      <c r="E112" s="95"/>
      <c r="F112" s="95"/>
      <c r="G112" s="95"/>
      <c r="H112" s="210">
        <f t="shared" si="4"/>
        <v>0</v>
      </c>
      <c r="I112" s="210">
        <f t="shared" si="4"/>
        <v>0</v>
      </c>
      <c r="J112" s="210">
        <f t="shared" si="4"/>
        <v>0</v>
      </c>
      <c r="K112" s="193"/>
    </row>
    <row r="113" spans="1:12" x14ac:dyDescent="0.2">
      <c r="A113" s="175"/>
      <c r="B113" s="175"/>
      <c r="C113" s="175"/>
      <c r="D113" s="175"/>
      <c r="E113" s="175"/>
      <c r="F113" s="197"/>
      <c r="G113" s="197"/>
      <c r="H113" s="198" t="s">
        <v>167</v>
      </c>
      <c r="I113" s="198" t="s">
        <v>168</v>
      </c>
      <c r="J113" s="198" t="s">
        <v>169</v>
      </c>
      <c r="K113" s="175"/>
      <c r="L113" s="175"/>
    </row>
    <row r="114" spans="1:12" x14ac:dyDescent="0.2">
      <c r="A114" s="175"/>
      <c r="B114" s="175"/>
      <c r="C114" s="175"/>
      <c r="D114" s="175"/>
      <c r="E114" s="175"/>
      <c r="F114" s="199" t="s">
        <v>198</v>
      </c>
      <c r="G114" s="200" t="s">
        <v>199</v>
      </c>
      <c r="H114" s="192">
        <f>SUM(H54:H112)</f>
        <v>0</v>
      </c>
      <c r="I114" s="192">
        <f>SUM(I54:I112)</f>
        <v>0</v>
      </c>
      <c r="J114" s="192">
        <f>SUM(J54:J112)</f>
        <v>0</v>
      </c>
      <c r="K114" s="175"/>
      <c r="L114" s="175"/>
    </row>
    <row r="115" spans="1:12" x14ac:dyDescent="0.2">
      <c r="A115" s="175"/>
      <c r="B115" s="175"/>
      <c r="C115" s="175"/>
      <c r="D115" s="175"/>
      <c r="E115" s="175"/>
      <c r="F115" s="538" t="s">
        <v>200</v>
      </c>
      <c r="G115" s="539"/>
      <c r="H115" s="201">
        <v>1</v>
      </c>
      <c r="I115" s="201">
        <v>0.437</v>
      </c>
      <c r="J115" s="201">
        <v>0.83</v>
      </c>
      <c r="K115" s="175"/>
      <c r="L115" s="175"/>
    </row>
    <row r="116" spans="1:12" ht="13.5" thickBot="1" x14ac:dyDescent="0.25">
      <c r="A116" s="175"/>
      <c r="B116" s="175"/>
      <c r="C116" s="175"/>
      <c r="D116" s="175"/>
      <c r="E116" s="175"/>
      <c r="F116" s="316"/>
      <c r="G116" s="317"/>
      <c r="H116" s="318" t="s">
        <v>167</v>
      </c>
      <c r="I116" s="318" t="s">
        <v>201</v>
      </c>
      <c r="J116" s="318" t="s">
        <v>202</v>
      </c>
      <c r="K116" s="175"/>
      <c r="L116" s="175"/>
    </row>
    <row r="117" spans="1:12" ht="64.5" thickBot="1" x14ac:dyDescent="0.25">
      <c r="A117" s="175"/>
      <c r="B117" s="175"/>
      <c r="C117" s="175"/>
      <c r="D117" s="175"/>
      <c r="E117" s="175"/>
      <c r="F117" s="319" t="s">
        <v>267</v>
      </c>
      <c r="G117" s="307" t="s">
        <v>199</v>
      </c>
      <c r="H117" s="320">
        <f>(H114)*H115</f>
        <v>0</v>
      </c>
      <c r="I117" s="320">
        <f>(I114)*I115</f>
        <v>0</v>
      </c>
      <c r="J117" s="321">
        <f>(J114)*J115</f>
        <v>0</v>
      </c>
      <c r="K117" s="175"/>
      <c r="L117" s="175"/>
    </row>
    <row r="118" spans="1:12" x14ac:dyDescent="0.2">
      <c r="A118" s="175"/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</row>
    <row r="119" spans="1:12" x14ac:dyDescent="0.2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</row>
    <row r="120" spans="1:12" ht="20.25" customHeight="1" x14ac:dyDescent="0.2">
      <c r="A120" s="516" t="s">
        <v>268</v>
      </c>
      <c r="B120" s="516"/>
      <c r="C120" s="516"/>
      <c r="D120" s="516"/>
      <c r="E120" s="516"/>
      <c r="F120" s="516"/>
      <c r="G120" s="516"/>
      <c r="H120" s="516"/>
      <c r="I120" s="516"/>
      <c r="J120" s="516"/>
      <c r="K120" s="182"/>
    </row>
    <row r="121" spans="1:12" x14ac:dyDescent="0.2">
      <c r="A121" s="175"/>
      <c r="B121" s="175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</row>
    <row r="122" spans="1:12" ht="16.5" customHeight="1" x14ac:dyDescent="0.2">
      <c r="A122" s="529" t="s">
        <v>639</v>
      </c>
      <c r="B122" s="529"/>
      <c r="C122" s="529"/>
      <c r="D122" s="529"/>
      <c r="E122" s="529"/>
      <c r="F122" s="529"/>
      <c r="G122" s="175"/>
      <c r="H122" s="175"/>
      <c r="I122" s="175"/>
      <c r="J122" s="175"/>
      <c r="K122" s="175"/>
      <c r="L122" s="182"/>
    </row>
    <row r="123" spans="1:12" x14ac:dyDescent="0.2">
      <c r="A123" s="183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</row>
    <row r="124" spans="1:12" ht="63.75" x14ac:dyDescent="0.2">
      <c r="A124" s="175"/>
      <c r="B124" s="175"/>
      <c r="C124" s="214" t="s">
        <v>269</v>
      </c>
      <c r="D124" s="187" t="s">
        <v>270</v>
      </c>
      <c r="E124" s="175"/>
      <c r="G124" s="175"/>
      <c r="H124" s="175"/>
      <c r="I124" s="175"/>
      <c r="J124" s="175"/>
      <c r="K124" s="175"/>
      <c r="L124" s="175"/>
    </row>
    <row r="125" spans="1:12" x14ac:dyDescent="0.2">
      <c r="A125" s="215" t="s">
        <v>640</v>
      </c>
      <c r="B125" s="188" t="s">
        <v>271</v>
      </c>
      <c r="C125" s="96"/>
      <c r="D125" s="96"/>
      <c r="E125" s="175"/>
      <c r="G125" s="175"/>
      <c r="H125" s="175"/>
      <c r="I125" s="175"/>
      <c r="J125" s="175"/>
      <c r="K125" s="175"/>
      <c r="L125" s="175"/>
    </row>
    <row r="126" spans="1:12" x14ac:dyDescent="0.2">
      <c r="A126" s="419" t="s">
        <v>623</v>
      </c>
      <c r="B126" s="216" t="s">
        <v>272</v>
      </c>
      <c r="C126" s="94"/>
      <c r="D126" s="97"/>
      <c r="E126" s="175"/>
      <c r="G126" s="175"/>
      <c r="H126" s="175"/>
      <c r="I126" s="175"/>
      <c r="J126" s="175"/>
      <c r="K126" s="175"/>
      <c r="L126" s="175"/>
    </row>
    <row r="127" spans="1:12" ht="25.5" x14ac:dyDescent="0.2">
      <c r="A127" s="217" t="s">
        <v>273</v>
      </c>
      <c r="B127" s="216" t="s">
        <v>274</v>
      </c>
      <c r="C127" s="218">
        <v>35</v>
      </c>
      <c r="D127" s="219">
        <v>23</v>
      </c>
      <c r="E127" s="175"/>
      <c r="G127" s="175"/>
      <c r="H127" s="175"/>
      <c r="I127" s="175"/>
      <c r="J127" s="175"/>
      <c r="K127" s="175"/>
      <c r="L127" s="175"/>
    </row>
    <row r="128" spans="1:12" x14ac:dyDescent="0.2">
      <c r="A128" s="220" t="s">
        <v>275</v>
      </c>
      <c r="B128" s="216" t="s">
        <v>276</v>
      </c>
      <c r="C128" s="210">
        <f>C126*C125/100*C127*1.3</f>
        <v>0</v>
      </c>
      <c r="D128" s="210">
        <f>D126*D125/100*D127</f>
        <v>0</v>
      </c>
      <c r="E128" s="175"/>
      <c r="F128" s="175"/>
      <c r="G128" s="175"/>
      <c r="H128" s="175"/>
      <c r="I128" s="175"/>
      <c r="J128" s="175"/>
      <c r="K128" s="175"/>
      <c r="L128" s="175"/>
    </row>
    <row r="129" spans="1:12" x14ac:dyDescent="0.2">
      <c r="A129" s="419" t="s">
        <v>624</v>
      </c>
      <c r="B129" s="216" t="s">
        <v>277</v>
      </c>
      <c r="C129" s="98"/>
      <c r="D129" s="98"/>
      <c r="E129" s="175"/>
      <c r="F129" s="175"/>
      <c r="G129" s="175"/>
      <c r="H129" s="175"/>
      <c r="I129" s="175"/>
      <c r="J129" s="175"/>
      <c r="K129" s="175"/>
      <c r="L129" s="175"/>
    </row>
    <row r="130" spans="1:12" x14ac:dyDescent="0.2">
      <c r="A130" s="222" t="s">
        <v>278</v>
      </c>
      <c r="B130" s="216" t="s">
        <v>279</v>
      </c>
      <c r="C130" s="223">
        <f>C128*C129</f>
        <v>0</v>
      </c>
      <c r="D130" s="223">
        <f>D128*D129</f>
        <v>0</v>
      </c>
      <c r="E130" s="175"/>
      <c r="F130" s="175"/>
      <c r="G130" s="175"/>
      <c r="H130" s="175"/>
      <c r="I130" s="175"/>
      <c r="J130" s="175"/>
      <c r="K130" s="175"/>
      <c r="L130" s="175"/>
    </row>
    <row r="131" spans="1:12" x14ac:dyDescent="0.2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</row>
    <row r="132" spans="1:12" ht="16.5" customHeight="1" x14ac:dyDescent="0.2">
      <c r="A132" s="529" t="s">
        <v>280</v>
      </c>
      <c r="B132" s="529"/>
      <c r="C132" s="529"/>
      <c r="D132" s="529"/>
      <c r="E132" s="529"/>
      <c r="F132" s="529"/>
      <c r="G132" s="175"/>
      <c r="H132" s="175"/>
      <c r="I132" s="175"/>
      <c r="J132" s="175"/>
      <c r="K132" s="175"/>
      <c r="L132" s="182"/>
    </row>
    <row r="133" spans="1:12" x14ac:dyDescent="0.2">
      <c r="A133" s="183"/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</row>
    <row r="134" spans="1:12" x14ac:dyDescent="0.2">
      <c r="A134" s="176"/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</row>
    <row r="135" spans="1:12" ht="25.5" x14ac:dyDescent="0.2">
      <c r="A135" s="175"/>
      <c r="B135" s="430" t="s">
        <v>641</v>
      </c>
      <c r="C135" s="224" t="s">
        <v>281</v>
      </c>
      <c r="D135" s="433" t="s">
        <v>282</v>
      </c>
      <c r="E135" s="202" t="s">
        <v>278</v>
      </c>
      <c r="F135" s="175"/>
      <c r="H135" s="175"/>
      <c r="I135" s="175"/>
      <c r="J135" s="175"/>
      <c r="K135" s="175"/>
      <c r="L135" s="175"/>
    </row>
    <row r="136" spans="1:12" x14ac:dyDescent="0.2">
      <c r="A136" s="175"/>
      <c r="B136" s="225" t="s">
        <v>283</v>
      </c>
      <c r="C136" s="225" t="s">
        <v>277</v>
      </c>
      <c r="D136" s="188" t="s">
        <v>284</v>
      </c>
      <c r="E136" s="225" t="s">
        <v>279</v>
      </c>
      <c r="F136" s="175"/>
      <c r="H136" s="175"/>
      <c r="I136" s="175"/>
      <c r="J136" s="175"/>
      <c r="K136" s="175"/>
      <c r="L136" s="175"/>
    </row>
    <row r="137" spans="1:12" x14ac:dyDescent="0.2">
      <c r="A137" s="187" t="s">
        <v>285</v>
      </c>
      <c r="B137" s="94"/>
      <c r="C137" s="94"/>
      <c r="D137" s="211">
        <f>2.5*0.8*10</f>
        <v>20</v>
      </c>
      <c r="E137" s="226">
        <f>D137*B137*C137</f>
        <v>0</v>
      </c>
      <c r="F137" s="175"/>
      <c r="H137" s="175"/>
      <c r="I137" s="175"/>
      <c r="J137" s="175"/>
      <c r="K137" s="175"/>
      <c r="L137" s="175"/>
    </row>
    <row r="138" spans="1:12" x14ac:dyDescent="0.2">
      <c r="A138" s="187" t="s">
        <v>286</v>
      </c>
      <c r="B138" s="94"/>
      <c r="C138" s="94"/>
      <c r="D138" s="211">
        <f>2.6*0.75*10</f>
        <v>19.5</v>
      </c>
      <c r="E138" s="226">
        <f>D138*B138*C138</f>
        <v>0</v>
      </c>
      <c r="F138" s="175"/>
      <c r="H138" s="175"/>
      <c r="I138" s="175"/>
      <c r="J138" s="175"/>
      <c r="K138" s="175"/>
      <c r="L138" s="175"/>
    </row>
    <row r="139" spans="1:12" x14ac:dyDescent="0.2">
      <c r="A139" s="175"/>
      <c r="B139" s="175"/>
      <c r="C139" s="175"/>
      <c r="D139" s="227" t="s">
        <v>287</v>
      </c>
      <c r="E139" s="226">
        <f>SUM(E137:E138)</f>
        <v>0</v>
      </c>
      <c r="F139" s="175"/>
      <c r="H139" s="175"/>
      <c r="I139" s="175"/>
      <c r="J139" s="175"/>
      <c r="K139" s="175"/>
      <c r="L139" s="175"/>
    </row>
    <row r="140" spans="1:12" x14ac:dyDescent="0.2">
      <c r="A140" s="175"/>
      <c r="B140" s="175"/>
      <c r="C140" s="175"/>
      <c r="D140" s="175"/>
      <c r="E140" s="206"/>
      <c r="F140" s="175"/>
      <c r="H140" s="175"/>
      <c r="I140" s="175"/>
      <c r="J140" s="175"/>
      <c r="K140" s="175"/>
      <c r="L140" s="175"/>
    </row>
    <row r="141" spans="1:12" ht="25.5" customHeight="1" x14ac:dyDescent="0.2">
      <c r="A141" s="175"/>
      <c r="B141" s="430" t="s">
        <v>641</v>
      </c>
      <c r="C141" s="224" t="s">
        <v>281</v>
      </c>
      <c r="D141" s="433" t="s">
        <v>649</v>
      </c>
      <c r="E141" s="202" t="s">
        <v>278</v>
      </c>
      <c r="F141" s="175"/>
      <c r="G141" s="524" t="s">
        <v>644</v>
      </c>
      <c r="H141" s="524"/>
      <c r="I141" s="524"/>
      <c r="J141" s="524"/>
      <c r="K141" s="524"/>
      <c r="L141" s="524"/>
    </row>
    <row r="142" spans="1:12" x14ac:dyDescent="0.2">
      <c r="A142" s="175"/>
      <c r="B142" s="431" t="s">
        <v>647</v>
      </c>
      <c r="C142" s="225" t="s">
        <v>277</v>
      </c>
      <c r="D142" s="432" t="s">
        <v>648</v>
      </c>
      <c r="E142" s="225" t="s">
        <v>279</v>
      </c>
      <c r="F142" s="175"/>
      <c r="G142" s="524"/>
      <c r="H142" s="524"/>
      <c r="I142" s="524"/>
      <c r="J142" s="524"/>
      <c r="K142" s="524"/>
      <c r="L142" s="524"/>
    </row>
    <row r="143" spans="1:12" x14ac:dyDescent="0.2">
      <c r="A143" s="187" t="s">
        <v>288</v>
      </c>
      <c r="B143" s="94"/>
      <c r="C143" s="94"/>
      <c r="D143" s="218">
        <f>5.6*65/100</f>
        <v>3.64</v>
      </c>
      <c r="E143" s="226">
        <f t="shared" ref="E143:E148" si="5">D143*C143*B143</f>
        <v>0</v>
      </c>
      <c r="F143" s="175"/>
      <c r="G143" s="435"/>
      <c r="H143" s="435"/>
      <c r="I143" s="435"/>
      <c r="J143" s="435"/>
      <c r="K143" s="435"/>
      <c r="L143" s="435"/>
    </row>
    <row r="144" spans="1:12" x14ac:dyDescent="0.2">
      <c r="A144" s="187" t="s">
        <v>289</v>
      </c>
      <c r="B144" s="94"/>
      <c r="C144" s="94"/>
      <c r="D144" s="228">
        <f>3.57*65/100</f>
        <v>2.3205</v>
      </c>
      <c r="E144" s="226">
        <f t="shared" si="5"/>
        <v>0</v>
      </c>
      <c r="F144" s="175"/>
      <c r="G144" s="434"/>
      <c r="H144" s="434"/>
      <c r="I144" s="434"/>
      <c r="J144" s="434"/>
      <c r="K144" s="175"/>
      <c r="L144" s="175"/>
    </row>
    <row r="145" spans="1:12" x14ac:dyDescent="0.2">
      <c r="A145" s="187" t="s">
        <v>290</v>
      </c>
      <c r="B145" s="94"/>
      <c r="C145" s="94"/>
      <c r="D145" s="218">
        <f>5.9*0.8</f>
        <v>4.7200000000000006</v>
      </c>
      <c r="E145" s="226">
        <f t="shared" si="5"/>
        <v>0</v>
      </c>
      <c r="F145" s="175"/>
      <c r="G145" s="434"/>
      <c r="H145" s="434"/>
      <c r="I145" s="434"/>
      <c r="J145" s="434"/>
      <c r="K145" s="175"/>
      <c r="L145" s="175"/>
    </row>
    <row r="146" spans="1:12" x14ac:dyDescent="0.2">
      <c r="A146" s="187" t="s">
        <v>78</v>
      </c>
      <c r="B146" s="94"/>
      <c r="C146" s="94"/>
      <c r="D146" s="218">
        <f>7.4*0.8</f>
        <v>5.9200000000000008</v>
      </c>
      <c r="E146" s="226">
        <f t="shared" si="5"/>
        <v>0</v>
      </c>
      <c r="F146" s="175"/>
      <c r="G146" s="434"/>
      <c r="H146" s="434"/>
      <c r="I146" s="434"/>
      <c r="J146" s="434"/>
      <c r="K146" s="175"/>
      <c r="L146" s="175"/>
    </row>
    <row r="147" spans="1:12" x14ac:dyDescent="0.2">
      <c r="A147" s="229" t="s">
        <v>291</v>
      </c>
      <c r="B147" s="94"/>
      <c r="C147" s="94"/>
      <c r="D147" s="218">
        <f>2.8*0.3</f>
        <v>0.84</v>
      </c>
      <c r="E147" s="226">
        <f t="shared" si="5"/>
        <v>0</v>
      </c>
      <c r="F147" s="175"/>
      <c r="G147" s="434"/>
      <c r="H147" s="434"/>
      <c r="I147" s="434"/>
      <c r="J147" s="434"/>
      <c r="K147" s="175"/>
      <c r="L147" s="175"/>
    </row>
    <row r="148" spans="1:12" x14ac:dyDescent="0.2">
      <c r="A148" s="229" t="s">
        <v>292</v>
      </c>
      <c r="B148" s="94"/>
      <c r="C148" s="94"/>
      <c r="D148" s="218">
        <f>1.33*30/100</f>
        <v>0.39900000000000008</v>
      </c>
      <c r="E148" s="226">
        <f t="shared" si="5"/>
        <v>0</v>
      </c>
      <c r="F148" s="175"/>
      <c r="G148" s="434"/>
      <c r="H148" s="434"/>
      <c r="I148" s="434"/>
      <c r="J148" s="434"/>
      <c r="K148" s="175"/>
      <c r="L148" s="175"/>
    </row>
    <row r="149" spans="1:12" x14ac:dyDescent="0.2">
      <c r="A149" s="175"/>
      <c r="B149" s="175"/>
      <c r="C149" s="200" t="s">
        <v>287</v>
      </c>
      <c r="D149" s="200" t="s">
        <v>293</v>
      </c>
      <c r="E149" s="226">
        <f>SUM(E143:E148)</f>
        <v>0</v>
      </c>
      <c r="F149" s="175"/>
      <c r="G149" s="175"/>
      <c r="H149" s="175"/>
      <c r="I149" s="175"/>
      <c r="J149" s="175"/>
      <c r="K149" s="175"/>
      <c r="L149" s="175"/>
    </row>
    <row r="150" spans="1:12" x14ac:dyDescent="0.2">
      <c r="A150" s="175"/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</row>
    <row r="151" spans="1:12" x14ac:dyDescent="0.2">
      <c r="A151" s="175"/>
      <c r="B151" s="534" t="s">
        <v>642</v>
      </c>
      <c r="C151" s="535"/>
      <c r="D151" s="200" t="s">
        <v>293</v>
      </c>
      <c r="E151" s="230">
        <f>E139+E149</f>
        <v>0</v>
      </c>
      <c r="F151" s="175"/>
      <c r="G151" s="175"/>
      <c r="H151" s="175"/>
      <c r="I151" s="175"/>
      <c r="J151" s="175"/>
      <c r="K151" s="175"/>
      <c r="L151" s="175"/>
    </row>
    <row r="152" spans="1:12" ht="13.5" thickBot="1" x14ac:dyDescent="0.25">
      <c r="A152" s="175"/>
      <c r="B152" s="231"/>
      <c r="C152" s="231"/>
      <c r="D152" s="232"/>
      <c r="E152" s="232"/>
      <c r="F152" s="175"/>
      <c r="G152" s="175"/>
      <c r="H152" s="175"/>
      <c r="I152" s="175"/>
      <c r="J152" s="175"/>
      <c r="K152" s="175"/>
      <c r="L152" s="175"/>
    </row>
    <row r="153" spans="1:12" ht="26.25" customHeight="1" thickBot="1" x14ac:dyDescent="0.25">
      <c r="A153" s="175"/>
      <c r="B153" s="536" t="s">
        <v>643</v>
      </c>
      <c r="C153" s="537"/>
      <c r="D153" s="307" t="s">
        <v>293</v>
      </c>
      <c r="E153" s="308">
        <f>E151+C130+D130</f>
        <v>0</v>
      </c>
      <c r="F153" s="175"/>
      <c r="G153" s="175"/>
      <c r="H153" s="175"/>
      <c r="I153" s="175"/>
      <c r="J153" s="175"/>
      <c r="K153" s="175"/>
      <c r="L153" s="175"/>
    </row>
    <row r="154" spans="1:12" x14ac:dyDescent="0.2">
      <c r="A154" s="175"/>
      <c r="B154" s="175"/>
      <c r="C154" s="233"/>
      <c r="D154" s="234"/>
      <c r="E154" s="175"/>
      <c r="F154" s="175"/>
      <c r="G154" s="175"/>
      <c r="H154" s="175"/>
      <c r="I154" s="175"/>
      <c r="J154" s="175"/>
      <c r="K154" s="175"/>
      <c r="L154" s="175"/>
    </row>
    <row r="155" spans="1:12" x14ac:dyDescent="0.2">
      <c r="A155" s="175"/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</row>
    <row r="156" spans="1:12" x14ac:dyDescent="0.2">
      <c r="A156" s="175"/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</row>
    <row r="157" spans="1:12" ht="20.25" customHeight="1" x14ac:dyDescent="0.2">
      <c r="A157" s="516" t="s">
        <v>294</v>
      </c>
      <c r="B157" s="516"/>
      <c r="C157" s="516"/>
      <c r="D157" s="516"/>
      <c r="E157" s="516"/>
      <c r="F157" s="516"/>
      <c r="G157" s="516"/>
      <c r="H157" s="516"/>
      <c r="I157" s="516"/>
      <c r="J157" s="516"/>
      <c r="K157" s="516"/>
      <c r="L157" s="516"/>
    </row>
    <row r="158" spans="1:12" x14ac:dyDescent="0.2">
      <c r="A158" s="183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</row>
    <row r="159" spans="1:12" x14ac:dyDescent="0.2">
      <c r="A159" s="175"/>
      <c r="B159" s="175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</row>
    <row r="160" spans="1:12" x14ac:dyDescent="0.2">
      <c r="A160" s="183"/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</row>
    <row r="161" spans="1:12" ht="63.75" x14ac:dyDescent="0.2">
      <c r="A161" s="235" t="s">
        <v>295</v>
      </c>
      <c r="B161" s="236" t="s">
        <v>296</v>
      </c>
      <c r="C161" s="236" t="s">
        <v>165</v>
      </c>
      <c r="D161" s="236" t="s">
        <v>166</v>
      </c>
      <c r="E161" s="237" t="s">
        <v>297</v>
      </c>
      <c r="F161" s="209" t="s">
        <v>298</v>
      </c>
      <c r="G161" s="201" t="s">
        <v>167</v>
      </c>
      <c r="H161" s="201" t="s">
        <v>201</v>
      </c>
      <c r="I161" s="201" t="s">
        <v>202</v>
      </c>
      <c r="J161" s="226" t="s">
        <v>167</v>
      </c>
      <c r="K161" s="226" t="s">
        <v>201</v>
      </c>
      <c r="L161" s="226" t="s">
        <v>202</v>
      </c>
    </row>
    <row r="162" spans="1:12" x14ac:dyDescent="0.2">
      <c r="A162" s="235"/>
      <c r="B162" s="221" t="s">
        <v>299</v>
      </c>
      <c r="C162" s="221" t="s">
        <v>299</v>
      </c>
      <c r="D162" s="221" t="s">
        <v>299</v>
      </c>
      <c r="E162" s="225" t="s">
        <v>271</v>
      </c>
      <c r="F162" s="221" t="s">
        <v>300</v>
      </c>
      <c r="G162" s="221" t="s">
        <v>301</v>
      </c>
      <c r="H162" s="221" t="s">
        <v>301</v>
      </c>
      <c r="I162" s="221" t="s">
        <v>301</v>
      </c>
      <c r="J162" s="225" t="s">
        <v>279</v>
      </c>
      <c r="K162" s="225" t="s">
        <v>302</v>
      </c>
      <c r="L162" s="225" t="s">
        <v>303</v>
      </c>
    </row>
    <row r="163" spans="1:12" ht="25.5" x14ac:dyDescent="0.2">
      <c r="A163" s="238" t="s">
        <v>304</v>
      </c>
      <c r="B163" s="95"/>
      <c r="C163" s="95"/>
      <c r="D163" s="95"/>
      <c r="E163" s="309">
        <v>100</v>
      </c>
      <c r="F163" s="210">
        <f>(B163+C163-D163)*E163/100</f>
        <v>0</v>
      </c>
      <c r="G163" s="310">
        <v>20.799999237060547</v>
      </c>
      <c r="H163" s="310">
        <v>3</v>
      </c>
      <c r="I163" s="311">
        <v>0</v>
      </c>
      <c r="J163" s="210">
        <f>$F163*G163</f>
        <v>0</v>
      </c>
      <c r="K163" s="210">
        <f t="shared" ref="J163:L194" si="6">$F163*H163</f>
        <v>0</v>
      </c>
      <c r="L163" s="210">
        <f t="shared" si="6"/>
        <v>0</v>
      </c>
    </row>
    <row r="164" spans="1:12" x14ac:dyDescent="0.2">
      <c r="A164" s="238" t="s">
        <v>305</v>
      </c>
      <c r="B164" s="95"/>
      <c r="C164" s="95"/>
      <c r="D164" s="95"/>
      <c r="E164" s="309">
        <v>100</v>
      </c>
      <c r="F164" s="210">
        <f t="shared" ref="F164:F226" si="7">(B164+C164-D164)*E164/100</f>
        <v>0</v>
      </c>
      <c r="G164" s="310">
        <v>26.399999618530273</v>
      </c>
      <c r="H164" s="310">
        <v>5</v>
      </c>
      <c r="I164" s="311">
        <v>8</v>
      </c>
      <c r="J164" s="239">
        <f t="shared" si="6"/>
        <v>0</v>
      </c>
      <c r="K164" s="239">
        <f t="shared" si="6"/>
        <v>0</v>
      </c>
      <c r="L164" s="239">
        <f t="shared" si="6"/>
        <v>0</v>
      </c>
    </row>
    <row r="165" spans="1:12" ht="25.5" x14ac:dyDescent="0.2">
      <c r="A165" s="238" t="s">
        <v>306</v>
      </c>
      <c r="B165" s="95"/>
      <c r="C165" s="95"/>
      <c r="D165" s="95"/>
      <c r="E165" s="309">
        <v>100</v>
      </c>
      <c r="F165" s="210">
        <f>(B165+C165-D165)*E165/100</f>
        <v>0</v>
      </c>
      <c r="G165" s="310">
        <v>29</v>
      </c>
      <c r="H165" s="310">
        <v>4.4000000953674316</v>
      </c>
      <c r="I165" s="311">
        <v>8</v>
      </c>
      <c r="J165" s="239">
        <f t="shared" si="6"/>
        <v>0</v>
      </c>
      <c r="K165" s="239">
        <f t="shared" si="6"/>
        <v>0</v>
      </c>
      <c r="L165" s="239">
        <f t="shared" si="6"/>
        <v>0</v>
      </c>
    </row>
    <row r="166" spans="1:12" ht="25.5" x14ac:dyDescent="0.2">
      <c r="A166" s="238" t="s">
        <v>307</v>
      </c>
      <c r="B166" s="95"/>
      <c r="C166" s="95"/>
      <c r="D166" s="95"/>
      <c r="E166" s="309">
        <v>100</v>
      </c>
      <c r="F166" s="210">
        <f t="shared" si="7"/>
        <v>0</v>
      </c>
      <c r="G166" s="310">
        <v>35</v>
      </c>
      <c r="H166" s="310">
        <v>4.8000001907348633</v>
      </c>
      <c r="I166" s="311">
        <v>9</v>
      </c>
      <c r="J166" s="239">
        <f t="shared" si="6"/>
        <v>0</v>
      </c>
      <c r="K166" s="239">
        <f>$F166*H166</f>
        <v>0</v>
      </c>
      <c r="L166" s="239">
        <f t="shared" si="6"/>
        <v>0</v>
      </c>
    </row>
    <row r="167" spans="1:12" ht="25.5" x14ac:dyDescent="0.2">
      <c r="A167" s="238" t="s">
        <v>308</v>
      </c>
      <c r="B167" s="95"/>
      <c r="C167" s="95"/>
      <c r="D167" s="95"/>
      <c r="E167" s="309">
        <v>100</v>
      </c>
      <c r="F167" s="210">
        <f>(B167+C167-D167)*E167/100</f>
        <v>0</v>
      </c>
      <c r="G167" s="310">
        <v>48</v>
      </c>
      <c r="H167" s="310">
        <v>5.6999998092651367</v>
      </c>
      <c r="I167" s="311">
        <v>12</v>
      </c>
      <c r="J167" s="239">
        <f t="shared" si="6"/>
        <v>0</v>
      </c>
      <c r="K167" s="239">
        <f t="shared" si="6"/>
        <v>0</v>
      </c>
      <c r="L167" s="239">
        <f t="shared" si="6"/>
        <v>0</v>
      </c>
    </row>
    <row r="168" spans="1:12" ht="25.5" x14ac:dyDescent="0.2">
      <c r="A168" s="238" t="s">
        <v>309</v>
      </c>
      <c r="B168" s="95"/>
      <c r="C168" s="95"/>
      <c r="D168" s="95"/>
      <c r="E168" s="309">
        <v>100</v>
      </c>
      <c r="F168" s="210">
        <f t="shared" si="7"/>
        <v>0</v>
      </c>
      <c r="G168" s="310">
        <v>64</v>
      </c>
      <c r="H168" s="310">
        <v>6.5</v>
      </c>
      <c r="I168" s="311">
        <v>16</v>
      </c>
      <c r="J168" s="239">
        <f t="shared" si="6"/>
        <v>0</v>
      </c>
      <c r="K168" s="239">
        <f>$F168*H168</f>
        <v>0</v>
      </c>
      <c r="L168" s="239">
        <f t="shared" si="6"/>
        <v>0</v>
      </c>
    </row>
    <row r="169" spans="1:12" x14ac:dyDescent="0.2">
      <c r="A169" s="238" t="s">
        <v>310</v>
      </c>
      <c r="B169" s="95"/>
      <c r="C169" s="95"/>
      <c r="D169" s="95"/>
      <c r="E169" s="309">
        <v>100</v>
      </c>
      <c r="F169" s="210">
        <f t="shared" si="7"/>
        <v>0</v>
      </c>
      <c r="G169" s="310">
        <v>38.400001525878906</v>
      </c>
      <c r="H169" s="310">
        <v>7</v>
      </c>
      <c r="I169" s="311">
        <v>9</v>
      </c>
      <c r="J169" s="239">
        <f t="shared" si="6"/>
        <v>0</v>
      </c>
      <c r="K169" s="239">
        <f t="shared" si="6"/>
        <v>0</v>
      </c>
      <c r="L169" s="239">
        <f t="shared" si="6"/>
        <v>0</v>
      </c>
    </row>
    <row r="170" spans="1:12" ht="25.5" x14ac:dyDescent="0.2">
      <c r="A170" s="238" t="s">
        <v>311</v>
      </c>
      <c r="B170" s="95"/>
      <c r="C170" s="95"/>
      <c r="D170" s="95"/>
      <c r="E170" s="309">
        <v>100</v>
      </c>
      <c r="F170" s="210">
        <f>(B170+C170-D170)*E170/100</f>
        <v>0</v>
      </c>
      <c r="G170" s="310">
        <v>24.799999237060547</v>
      </c>
      <c r="H170" s="310">
        <v>3</v>
      </c>
      <c r="I170" s="311">
        <v>6</v>
      </c>
      <c r="J170" s="239">
        <f t="shared" si="6"/>
        <v>0</v>
      </c>
      <c r="K170" s="239">
        <f t="shared" si="6"/>
        <v>0</v>
      </c>
      <c r="L170" s="239">
        <f t="shared" si="6"/>
        <v>0</v>
      </c>
    </row>
    <row r="171" spans="1:12" x14ac:dyDescent="0.2">
      <c r="A171" s="238" t="s">
        <v>312</v>
      </c>
      <c r="B171" s="95"/>
      <c r="C171" s="95"/>
      <c r="D171" s="95"/>
      <c r="E171" s="309">
        <v>100</v>
      </c>
      <c r="F171" s="210">
        <f t="shared" si="7"/>
        <v>0</v>
      </c>
      <c r="G171" s="310">
        <v>25.600000381469727</v>
      </c>
      <c r="H171" s="310">
        <v>3.9000000953674316</v>
      </c>
      <c r="I171" s="311">
        <v>8</v>
      </c>
      <c r="J171" s="239">
        <f t="shared" si="6"/>
        <v>0</v>
      </c>
      <c r="K171" s="239">
        <f t="shared" si="6"/>
        <v>0</v>
      </c>
      <c r="L171" s="239">
        <f t="shared" si="6"/>
        <v>0</v>
      </c>
    </row>
    <row r="172" spans="1:12" x14ac:dyDescent="0.2">
      <c r="A172" s="238" t="s">
        <v>313</v>
      </c>
      <c r="B172" s="95"/>
      <c r="C172" s="95"/>
      <c r="D172" s="95"/>
      <c r="E172" s="309">
        <v>100</v>
      </c>
      <c r="F172" s="210">
        <f t="shared" si="7"/>
        <v>0</v>
      </c>
      <c r="G172" s="310">
        <v>30</v>
      </c>
      <c r="H172" s="310">
        <v>8</v>
      </c>
      <c r="I172" s="311">
        <v>9</v>
      </c>
      <c r="J172" s="239">
        <f t="shared" si="6"/>
        <v>0</v>
      </c>
      <c r="K172" s="239">
        <f t="shared" si="6"/>
        <v>0</v>
      </c>
      <c r="L172" s="239">
        <f t="shared" si="6"/>
        <v>0</v>
      </c>
    </row>
    <row r="173" spans="1:12" x14ac:dyDescent="0.2">
      <c r="A173" s="238" t="s">
        <v>314</v>
      </c>
      <c r="B173" s="95"/>
      <c r="C173" s="95"/>
      <c r="D173" s="95"/>
      <c r="E173" s="309">
        <v>100</v>
      </c>
      <c r="F173" s="210">
        <f t="shared" si="7"/>
        <v>0</v>
      </c>
      <c r="G173" s="310">
        <v>26.399999618530273</v>
      </c>
      <c r="H173" s="310">
        <v>7</v>
      </c>
      <c r="I173" s="311">
        <v>7</v>
      </c>
      <c r="J173" s="239">
        <f t="shared" si="6"/>
        <v>0</v>
      </c>
      <c r="K173" s="239">
        <f t="shared" si="6"/>
        <v>0</v>
      </c>
      <c r="L173" s="239">
        <f t="shared" si="6"/>
        <v>0</v>
      </c>
    </row>
    <row r="174" spans="1:12" ht="25.5" x14ac:dyDescent="0.2">
      <c r="A174" s="238" t="s">
        <v>315</v>
      </c>
      <c r="B174" s="95"/>
      <c r="C174" s="95"/>
      <c r="D174" s="95"/>
      <c r="E174" s="309">
        <v>100</v>
      </c>
      <c r="F174" s="210">
        <f t="shared" si="7"/>
        <v>0</v>
      </c>
      <c r="G174" s="310">
        <v>24.6</v>
      </c>
      <c r="H174" s="310">
        <v>4.5</v>
      </c>
      <c r="I174" s="311">
        <v>8</v>
      </c>
      <c r="J174" s="239">
        <f t="shared" si="6"/>
        <v>0</v>
      </c>
      <c r="K174" s="239">
        <f t="shared" si="6"/>
        <v>0</v>
      </c>
      <c r="L174" s="239">
        <f t="shared" si="6"/>
        <v>0</v>
      </c>
    </row>
    <row r="175" spans="1:12" ht="25.5" x14ac:dyDescent="0.2">
      <c r="A175" s="238" t="s">
        <v>316</v>
      </c>
      <c r="B175" s="95"/>
      <c r="C175" s="95"/>
      <c r="D175" s="95"/>
      <c r="E175" s="309">
        <v>100</v>
      </c>
      <c r="F175" s="210">
        <f t="shared" si="7"/>
        <v>0</v>
      </c>
      <c r="G175" s="310">
        <v>36.799999237060547</v>
      </c>
      <c r="H175" s="310">
        <v>9.5</v>
      </c>
      <c r="I175" s="311">
        <v>8</v>
      </c>
      <c r="J175" s="239">
        <f t="shared" si="6"/>
        <v>0</v>
      </c>
      <c r="K175" s="239">
        <f t="shared" si="6"/>
        <v>0</v>
      </c>
      <c r="L175" s="239">
        <f t="shared" si="6"/>
        <v>0</v>
      </c>
    </row>
    <row r="176" spans="1:12" x14ac:dyDescent="0.2">
      <c r="A176" s="238" t="s">
        <v>317</v>
      </c>
      <c r="B176" s="95"/>
      <c r="C176" s="95"/>
      <c r="D176" s="95"/>
      <c r="E176" s="309">
        <v>100</v>
      </c>
      <c r="F176" s="210">
        <f t="shared" si="7"/>
        <v>0</v>
      </c>
      <c r="G176" s="310">
        <v>32</v>
      </c>
      <c r="H176" s="310">
        <v>8.5</v>
      </c>
      <c r="I176" s="311">
        <v>8</v>
      </c>
      <c r="J176" s="239">
        <f t="shared" si="6"/>
        <v>0</v>
      </c>
      <c r="K176" s="239">
        <f t="shared" si="6"/>
        <v>0</v>
      </c>
      <c r="L176" s="239">
        <f t="shared" si="6"/>
        <v>0</v>
      </c>
    </row>
    <row r="177" spans="1:12" ht="25.5" x14ac:dyDescent="0.2">
      <c r="A177" s="238" t="s">
        <v>318</v>
      </c>
      <c r="B177" s="95"/>
      <c r="C177" s="95"/>
      <c r="D177" s="95"/>
      <c r="E177" s="309">
        <v>100</v>
      </c>
      <c r="F177" s="210">
        <f>(B177+C177-D177)*E177/100</f>
        <v>0</v>
      </c>
      <c r="G177" s="310">
        <v>28.799999237060547</v>
      </c>
      <c r="H177" s="310">
        <v>7</v>
      </c>
      <c r="I177" s="311">
        <v>8</v>
      </c>
      <c r="J177" s="239">
        <f t="shared" si="6"/>
        <v>0</v>
      </c>
      <c r="K177" s="239">
        <f t="shared" si="6"/>
        <v>0</v>
      </c>
      <c r="L177" s="239">
        <f t="shared" si="6"/>
        <v>0</v>
      </c>
    </row>
    <row r="178" spans="1:12" ht="25.5" x14ac:dyDescent="0.2">
      <c r="A178" s="238" t="s">
        <v>319</v>
      </c>
      <c r="B178" s="95"/>
      <c r="C178" s="95"/>
      <c r="D178" s="95"/>
      <c r="E178" s="309">
        <v>100</v>
      </c>
      <c r="F178" s="210">
        <f t="shared" si="7"/>
        <v>0</v>
      </c>
      <c r="G178" s="310">
        <v>26.399999618530273</v>
      </c>
      <c r="H178" s="310">
        <v>5</v>
      </c>
      <c r="I178" s="311">
        <v>8</v>
      </c>
      <c r="J178" s="239">
        <f t="shared" si="6"/>
        <v>0</v>
      </c>
      <c r="K178" s="239">
        <f t="shared" si="6"/>
        <v>0</v>
      </c>
      <c r="L178" s="239">
        <f t="shared" si="6"/>
        <v>0</v>
      </c>
    </row>
    <row r="179" spans="1:12" x14ac:dyDescent="0.2">
      <c r="A179" s="238" t="s">
        <v>320</v>
      </c>
      <c r="B179" s="95"/>
      <c r="C179" s="95"/>
      <c r="D179" s="95"/>
      <c r="E179" s="309">
        <v>100</v>
      </c>
      <c r="F179" s="210">
        <f t="shared" si="7"/>
        <v>0</v>
      </c>
      <c r="G179" s="310">
        <v>35.200000762939453</v>
      </c>
      <c r="H179" s="310">
        <v>7</v>
      </c>
      <c r="I179" s="311">
        <v>9</v>
      </c>
      <c r="J179" s="239">
        <f t="shared" si="6"/>
        <v>0</v>
      </c>
      <c r="K179" s="239">
        <f t="shared" si="6"/>
        <v>0</v>
      </c>
      <c r="L179" s="239">
        <f t="shared" si="6"/>
        <v>0</v>
      </c>
    </row>
    <row r="180" spans="1:12" x14ac:dyDescent="0.2">
      <c r="A180" s="238" t="s">
        <v>321</v>
      </c>
      <c r="B180" s="95"/>
      <c r="C180" s="95"/>
      <c r="D180" s="95"/>
      <c r="E180" s="309">
        <v>100</v>
      </c>
      <c r="F180" s="210">
        <f t="shared" si="7"/>
        <v>0</v>
      </c>
      <c r="G180" s="310">
        <v>26.399999618530273</v>
      </c>
      <c r="H180" s="310">
        <v>0</v>
      </c>
      <c r="I180" s="311">
        <v>0</v>
      </c>
      <c r="J180" s="239">
        <f t="shared" si="6"/>
        <v>0</v>
      </c>
      <c r="K180" s="239">
        <f t="shared" si="6"/>
        <v>0</v>
      </c>
      <c r="L180" s="239">
        <f t="shared" si="6"/>
        <v>0</v>
      </c>
    </row>
    <row r="181" spans="1:12" x14ac:dyDescent="0.2">
      <c r="A181" s="238" t="s">
        <v>322</v>
      </c>
      <c r="B181" s="95"/>
      <c r="C181" s="95"/>
      <c r="D181" s="95"/>
      <c r="E181" s="309">
        <v>100</v>
      </c>
      <c r="F181" s="210">
        <f t="shared" si="7"/>
        <v>0</v>
      </c>
      <c r="G181" s="310">
        <v>26.399999618530273</v>
      </c>
      <c r="H181" s="310">
        <v>6.5</v>
      </c>
      <c r="I181" s="311">
        <v>8</v>
      </c>
      <c r="J181" s="239">
        <f t="shared" si="6"/>
        <v>0</v>
      </c>
      <c r="K181" s="239">
        <f t="shared" si="6"/>
        <v>0</v>
      </c>
      <c r="L181" s="239">
        <f t="shared" si="6"/>
        <v>0</v>
      </c>
    </row>
    <row r="182" spans="1:12" ht="25.5" x14ac:dyDescent="0.2">
      <c r="A182" s="238" t="s">
        <v>323</v>
      </c>
      <c r="B182" s="95"/>
      <c r="C182" s="95"/>
      <c r="D182" s="95"/>
      <c r="E182" s="309">
        <v>100</v>
      </c>
      <c r="F182" s="210">
        <f t="shared" si="7"/>
        <v>0</v>
      </c>
      <c r="G182" s="310">
        <v>48.400001525878906</v>
      </c>
      <c r="H182" s="310">
        <v>6.5</v>
      </c>
      <c r="I182" s="311">
        <v>8</v>
      </c>
      <c r="J182" s="239">
        <f t="shared" si="6"/>
        <v>0</v>
      </c>
      <c r="K182" s="239">
        <f t="shared" si="6"/>
        <v>0</v>
      </c>
      <c r="L182" s="239">
        <f t="shared" si="6"/>
        <v>0</v>
      </c>
    </row>
    <row r="183" spans="1:12" x14ac:dyDescent="0.2">
      <c r="A183" s="238" t="s">
        <v>324</v>
      </c>
      <c r="B183" s="95"/>
      <c r="C183" s="95"/>
      <c r="D183" s="95"/>
      <c r="E183" s="309">
        <v>100</v>
      </c>
      <c r="F183" s="210">
        <f t="shared" si="7"/>
        <v>0</v>
      </c>
      <c r="G183" s="310">
        <v>22.399999618530273</v>
      </c>
      <c r="H183" s="310">
        <v>5</v>
      </c>
      <c r="I183" s="311">
        <v>8</v>
      </c>
      <c r="J183" s="239">
        <f t="shared" si="6"/>
        <v>0</v>
      </c>
      <c r="K183" s="239">
        <f t="shared" si="6"/>
        <v>0</v>
      </c>
      <c r="L183" s="239">
        <f t="shared" si="6"/>
        <v>0</v>
      </c>
    </row>
    <row r="184" spans="1:12" x14ac:dyDescent="0.2">
      <c r="A184" s="238" t="s">
        <v>325</v>
      </c>
      <c r="B184" s="95"/>
      <c r="C184" s="95"/>
      <c r="D184" s="95"/>
      <c r="E184" s="309">
        <v>100</v>
      </c>
      <c r="F184" s="210">
        <f t="shared" si="7"/>
        <v>0</v>
      </c>
      <c r="G184" s="310">
        <v>28.799999237060547</v>
      </c>
      <c r="H184" s="310">
        <v>4.4000000953674316</v>
      </c>
      <c r="I184" s="311">
        <v>9</v>
      </c>
      <c r="J184" s="239">
        <f t="shared" si="6"/>
        <v>0</v>
      </c>
      <c r="K184" s="239">
        <f t="shared" si="6"/>
        <v>0</v>
      </c>
      <c r="L184" s="239">
        <f t="shared" si="6"/>
        <v>0</v>
      </c>
    </row>
    <row r="185" spans="1:12" x14ac:dyDescent="0.2">
      <c r="A185" s="238" t="s">
        <v>70</v>
      </c>
      <c r="B185" s="95"/>
      <c r="C185" s="95"/>
      <c r="D185" s="95"/>
      <c r="E185" s="309">
        <v>85</v>
      </c>
      <c r="F185" s="210">
        <f t="shared" si="7"/>
        <v>0</v>
      </c>
      <c r="G185" s="310">
        <v>16</v>
      </c>
      <c r="H185" s="310">
        <v>3.5</v>
      </c>
      <c r="I185" s="311">
        <v>5.1999998092651367</v>
      </c>
      <c r="J185" s="239">
        <f t="shared" si="6"/>
        <v>0</v>
      </c>
      <c r="K185" s="239">
        <f t="shared" si="6"/>
        <v>0</v>
      </c>
      <c r="L185" s="239">
        <f t="shared" si="6"/>
        <v>0</v>
      </c>
    </row>
    <row r="186" spans="1:12" x14ac:dyDescent="0.2">
      <c r="A186" s="238" t="s">
        <v>326</v>
      </c>
      <c r="B186" s="95"/>
      <c r="C186" s="95"/>
      <c r="D186" s="95"/>
      <c r="E186" s="309">
        <v>11</v>
      </c>
      <c r="F186" s="210">
        <f t="shared" si="7"/>
        <v>0</v>
      </c>
      <c r="G186" s="310">
        <v>16</v>
      </c>
      <c r="H186" s="310">
        <v>1.5</v>
      </c>
      <c r="I186" s="311">
        <v>29</v>
      </c>
      <c r="J186" s="239">
        <f t="shared" si="6"/>
        <v>0</v>
      </c>
      <c r="K186" s="239">
        <f t="shared" si="6"/>
        <v>0</v>
      </c>
      <c r="L186" s="239">
        <f t="shared" si="6"/>
        <v>0</v>
      </c>
    </row>
    <row r="187" spans="1:12" x14ac:dyDescent="0.2">
      <c r="A187" s="238" t="s">
        <v>327</v>
      </c>
      <c r="B187" s="95"/>
      <c r="C187" s="95"/>
      <c r="D187" s="95"/>
      <c r="E187" s="309">
        <v>15</v>
      </c>
      <c r="F187" s="210">
        <f t="shared" si="7"/>
        <v>0</v>
      </c>
      <c r="G187" s="310">
        <v>13.399999618530273</v>
      </c>
      <c r="H187" s="310">
        <v>1.5</v>
      </c>
      <c r="I187" s="311">
        <v>0</v>
      </c>
      <c r="J187" s="239">
        <f t="shared" si="6"/>
        <v>0</v>
      </c>
      <c r="K187" s="239">
        <f t="shared" si="6"/>
        <v>0</v>
      </c>
      <c r="L187" s="239">
        <f t="shared" si="6"/>
        <v>0</v>
      </c>
    </row>
    <row r="188" spans="1:12" x14ac:dyDescent="0.2">
      <c r="A188" s="238" t="s">
        <v>67</v>
      </c>
      <c r="B188" s="95"/>
      <c r="C188" s="95"/>
      <c r="D188" s="95"/>
      <c r="E188" s="309">
        <v>85</v>
      </c>
      <c r="F188" s="210">
        <f t="shared" si="7"/>
        <v>0</v>
      </c>
      <c r="G188" s="310">
        <v>20</v>
      </c>
      <c r="H188" s="310">
        <v>3.7999999523162842</v>
      </c>
      <c r="I188" s="311">
        <v>4.3000001907348633</v>
      </c>
      <c r="J188" s="239">
        <f t="shared" si="6"/>
        <v>0</v>
      </c>
      <c r="K188" s="239">
        <f t="shared" si="6"/>
        <v>0</v>
      </c>
      <c r="L188" s="239">
        <f t="shared" si="6"/>
        <v>0</v>
      </c>
    </row>
    <row r="189" spans="1:12" x14ac:dyDescent="0.2">
      <c r="A189" s="238" t="s">
        <v>328</v>
      </c>
      <c r="B189" s="95"/>
      <c r="C189" s="95"/>
      <c r="D189" s="95"/>
      <c r="E189" s="309">
        <v>21</v>
      </c>
      <c r="F189" s="210">
        <f t="shared" si="7"/>
        <v>0</v>
      </c>
      <c r="G189" s="310">
        <v>48</v>
      </c>
      <c r="H189" s="310">
        <v>5.6999998092651367</v>
      </c>
      <c r="I189" s="311">
        <v>0.80000001192092896</v>
      </c>
      <c r="J189" s="239">
        <f t="shared" si="6"/>
        <v>0</v>
      </c>
      <c r="K189" s="239">
        <f t="shared" si="6"/>
        <v>0</v>
      </c>
      <c r="L189" s="239">
        <f t="shared" si="6"/>
        <v>0</v>
      </c>
    </row>
    <row r="190" spans="1:12" x14ac:dyDescent="0.2">
      <c r="A190" s="238" t="s">
        <v>329</v>
      </c>
      <c r="B190" s="95"/>
      <c r="C190" s="95"/>
      <c r="D190" s="95"/>
      <c r="E190" s="310">
        <v>16.700000762939453</v>
      </c>
      <c r="F190" s="210">
        <f t="shared" si="7"/>
        <v>0</v>
      </c>
      <c r="G190" s="310">
        <v>9</v>
      </c>
      <c r="H190" s="310">
        <v>2.5</v>
      </c>
      <c r="I190" s="311">
        <v>29</v>
      </c>
      <c r="J190" s="239">
        <f t="shared" si="6"/>
        <v>0</v>
      </c>
      <c r="K190" s="239">
        <f t="shared" si="6"/>
        <v>0</v>
      </c>
      <c r="L190" s="239">
        <f t="shared" si="6"/>
        <v>0</v>
      </c>
    </row>
    <row r="191" spans="1:12" ht="25.5" x14ac:dyDescent="0.2">
      <c r="A191" s="238" t="s">
        <v>330</v>
      </c>
      <c r="B191" s="95"/>
      <c r="C191" s="95"/>
      <c r="D191" s="95"/>
      <c r="E191" s="309">
        <v>20</v>
      </c>
      <c r="F191" s="210">
        <f t="shared" si="7"/>
        <v>0</v>
      </c>
      <c r="G191" s="310">
        <v>22</v>
      </c>
      <c r="H191" s="310">
        <v>3</v>
      </c>
      <c r="I191" s="311">
        <v>20.700000762939453</v>
      </c>
      <c r="J191" s="239">
        <f t="shared" si="6"/>
        <v>0</v>
      </c>
      <c r="K191" s="239">
        <f t="shared" si="6"/>
        <v>0</v>
      </c>
      <c r="L191" s="239">
        <f t="shared" si="6"/>
        <v>0</v>
      </c>
    </row>
    <row r="192" spans="1:12" x14ac:dyDescent="0.2">
      <c r="A192" s="238" t="s">
        <v>331</v>
      </c>
      <c r="B192" s="95"/>
      <c r="C192" s="95"/>
      <c r="D192" s="95"/>
      <c r="E192" s="309">
        <v>85</v>
      </c>
      <c r="F192" s="210">
        <f t="shared" si="7"/>
        <v>0</v>
      </c>
      <c r="G192" s="310">
        <v>14</v>
      </c>
      <c r="H192" s="310">
        <v>1.2999999523162842</v>
      </c>
      <c r="I192" s="311">
        <v>20.700000762939453</v>
      </c>
      <c r="J192" s="239">
        <f t="shared" si="6"/>
        <v>0</v>
      </c>
      <c r="K192" s="239">
        <f t="shared" si="6"/>
        <v>0</v>
      </c>
      <c r="L192" s="239">
        <f t="shared" si="6"/>
        <v>0</v>
      </c>
    </row>
    <row r="193" spans="1:12" x14ac:dyDescent="0.2">
      <c r="A193" s="238" t="s">
        <v>332</v>
      </c>
      <c r="B193" s="95"/>
      <c r="C193" s="95"/>
      <c r="D193" s="95"/>
      <c r="E193" s="309">
        <v>92</v>
      </c>
      <c r="F193" s="210">
        <f t="shared" si="7"/>
        <v>0</v>
      </c>
      <c r="G193" s="310">
        <v>115</v>
      </c>
      <c r="H193" s="310">
        <v>27</v>
      </c>
      <c r="I193" s="311">
        <v>0</v>
      </c>
      <c r="J193" s="239">
        <f t="shared" si="6"/>
        <v>0</v>
      </c>
      <c r="K193" s="239">
        <f t="shared" si="6"/>
        <v>0</v>
      </c>
      <c r="L193" s="239">
        <f t="shared" si="6"/>
        <v>0</v>
      </c>
    </row>
    <row r="194" spans="1:12" x14ac:dyDescent="0.2">
      <c r="A194" s="238" t="s">
        <v>333</v>
      </c>
      <c r="B194" s="95"/>
      <c r="C194" s="95"/>
      <c r="D194" s="95"/>
      <c r="E194" s="309">
        <v>92</v>
      </c>
      <c r="F194" s="210">
        <f t="shared" si="7"/>
        <v>0</v>
      </c>
      <c r="G194" s="310">
        <v>120</v>
      </c>
      <c r="H194" s="310">
        <v>19</v>
      </c>
      <c r="I194" s="311">
        <v>0</v>
      </c>
      <c r="J194" s="239">
        <f t="shared" si="6"/>
        <v>0</v>
      </c>
      <c r="K194" s="239">
        <f t="shared" si="6"/>
        <v>0</v>
      </c>
      <c r="L194" s="239">
        <f t="shared" si="6"/>
        <v>0</v>
      </c>
    </row>
    <row r="195" spans="1:12" x14ac:dyDescent="0.2">
      <c r="A195" s="238" t="s">
        <v>77</v>
      </c>
      <c r="B195" s="95"/>
      <c r="C195" s="95"/>
      <c r="D195" s="95"/>
      <c r="E195" s="309">
        <v>86.5</v>
      </c>
      <c r="F195" s="210">
        <f t="shared" si="7"/>
        <v>0</v>
      </c>
      <c r="G195" s="310">
        <v>40</v>
      </c>
      <c r="H195" s="310">
        <v>7</v>
      </c>
      <c r="I195" s="311">
        <v>0</v>
      </c>
      <c r="J195" s="239">
        <f t="shared" ref="J195:L226" si="8">$F195*G195</f>
        <v>0</v>
      </c>
      <c r="K195" s="239">
        <f t="shared" si="8"/>
        <v>0</v>
      </c>
      <c r="L195" s="239">
        <f t="shared" si="8"/>
        <v>0</v>
      </c>
    </row>
    <row r="196" spans="1:12" ht="25.5" x14ac:dyDescent="0.2">
      <c r="A196" s="238" t="s">
        <v>334</v>
      </c>
      <c r="B196" s="95"/>
      <c r="C196" s="95"/>
      <c r="D196" s="95"/>
      <c r="E196" s="309">
        <v>85</v>
      </c>
      <c r="F196" s="210">
        <f t="shared" si="7"/>
        <v>0</v>
      </c>
      <c r="G196" s="310">
        <v>20</v>
      </c>
      <c r="H196" s="310">
        <v>2.5999999046325684</v>
      </c>
      <c r="I196" s="311">
        <v>19</v>
      </c>
      <c r="J196" s="239">
        <f>$F196*G196</f>
        <v>0</v>
      </c>
      <c r="K196" s="239">
        <f t="shared" si="8"/>
        <v>0</v>
      </c>
      <c r="L196" s="239">
        <f t="shared" si="8"/>
        <v>0</v>
      </c>
    </row>
    <row r="197" spans="1:12" ht="25.5" x14ac:dyDescent="0.2">
      <c r="A197" s="238" t="s">
        <v>335</v>
      </c>
      <c r="B197" s="95"/>
      <c r="C197" s="95"/>
      <c r="D197" s="95"/>
      <c r="E197" s="309">
        <v>85</v>
      </c>
      <c r="F197" s="210">
        <f t="shared" si="7"/>
        <v>0</v>
      </c>
      <c r="G197" s="310">
        <v>15</v>
      </c>
      <c r="H197" s="310">
        <v>2.5999999046325684</v>
      </c>
      <c r="I197" s="311">
        <v>18.299999237060547</v>
      </c>
      <c r="J197" s="239">
        <f t="shared" si="8"/>
        <v>0</v>
      </c>
      <c r="K197" s="239">
        <f t="shared" si="8"/>
        <v>0</v>
      </c>
      <c r="L197" s="239">
        <f t="shared" si="8"/>
        <v>0</v>
      </c>
    </row>
    <row r="198" spans="1:12" ht="25.5" x14ac:dyDescent="0.2">
      <c r="A198" s="238" t="s">
        <v>336</v>
      </c>
      <c r="B198" s="95"/>
      <c r="C198" s="95"/>
      <c r="D198" s="95"/>
      <c r="E198" s="309">
        <v>85</v>
      </c>
      <c r="F198" s="210">
        <f t="shared" si="7"/>
        <v>0</v>
      </c>
      <c r="G198" s="310">
        <v>13</v>
      </c>
      <c r="H198" s="310">
        <v>2.2999999523162842</v>
      </c>
      <c r="I198" s="311">
        <v>16</v>
      </c>
      <c r="J198" s="239">
        <f t="shared" si="8"/>
        <v>0</v>
      </c>
      <c r="K198" s="239">
        <f t="shared" si="8"/>
        <v>0</v>
      </c>
      <c r="L198" s="239">
        <f t="shared" si="8"/>
        <v>0</v>
      </c>
    </row>
    <row r="199" spans="1:12" x14ac:dyDescent="0.2">
      <c r="A199" s="238" t="s">
        <v>337</v>
      </c>
      <c r="B199" s="95"/>
      <c r="C199" s="95"/>
      <c r="D199" s="95"/>
      <c r="E199" s="309">
        <v>89</v>
      </c>
      <c r="F199" s="210">
        <f t="shared" si="7"/>
        <v>0</v>
      </c>
      <c r="G199" s="310">
        <v>34.599998474121094</v>
      </c>
      <c r="H199" s="310">
        <v>7.8000001907348633</v>
      </c>
      <c r="I199" s="311">
        <v>0</v>
      </c>
      <c r="J199" s="239">
        <f t="shared" si="8"/>
        <v>0</v>
      </c>
      <c r="K199" s="239">
        <f t="shared" si="8"/>
        <v>0</v>
      </c>
      <c r="L199" s="239">
        <f>$F199*I199</f>
        <v>0</v>
      </c>
    </row>
    <row r="200" spans="1:12" x14ac:dyDescent="0.2">
      <c r="A200" s="238" t="s">
        <v>338</v>
      </c>
      <c r="B200" s="95"/>
      <c r="C200" s="95"/>
      <c r="D200" s="95"/>
      <c r="E200" s="309">
        <v>89</v>
      </c>
      <c r="F200" s="210">
        <f t="shared" si="7"/>
        <v>0</v>
      </c>
      <c r="G200" s="310">
        <v>105.69999694824219</v>
      </c>
      <c r="H200" s="310">
        <v>4</v>
      </c>
      <c r="I200" s="311">
        <v>0</v>
      </c>
      <c r="J200" s="239">
        <f t="shared" si="8"/>
        <v>0</v>
      </c>
      <c r="K200" s="239">
        <f t="shared" si="8"/>
        <v>0</v>
      </c>
      <c r="L200" s="239">
        <f t="shared" si="8"/>
        <v>0</v>
      </c>
    </row>
    <row r="201" spans="1:12" x14ac:dyDescent="0.2">
      <c r="A201" s="238" t="s">
        <v>339</v>
      </c>
      <c r="B201" s="95"/>
      <c r="C201" s="95"/>
      <c r="D201" s="95"/>
      <c r="E201" s="309">
        <v>100</v>
      </c>
      <c r="F201" s="210">
        <f t="shared" si="7"/>
        <v>0</v>
      </c>
      <c r="G201" s="310">
        <v>20.600000381469727</v>
      </c>
      <c r="H201" s="310">
        <v>10</v>
      </c>
      <c r="I201" s="311">
        <v>0</v>
      </c>
      <c r="J201" s="239">
        <f t="shared" si="8"/>
        <v>0</v>
      </c>
      <c r="K201" s="239">
        <f t="shared" si="8"/>
        <v>0</v>
      </c>
      <c r="L201" s="239">
        <f t="shared" si="8"/>
        <v>0</v>
      </c>
    </row>
    <row r="202" spans="1:12" x14ac:dyDescent="0.2">
      <c r="A202" s="238" t="s">
        <v>340</v>
      </c>
      <c r="B202" s="95"/>
      <c r="C202" s="95"/>
      <c r="D202" s="95"/>
      <c r="E202" s="309">
        <v>88</v>
      </c>
      <c r="F202" s="210">
        <f t="shared" si="7"/>
        <v>0</v>
      </c>
      <c r="G202" s="310">
        <v>40</v>
      </c>
      <c r="H202" s="310">
        <v>6.9000000953674316</v>
      </c>
      <c r="I202" s="311">
        <v>0</v>
      </c>
      <c r="J202" s="239">
        <f t="shared" si="8"/>
        <v>0</v>
      </c>
      <c r="K202" s="239">
        <f t="shared" si="8"/>
        <v>0</v>
      </c>
      <c r="L202" s="239">
        <f t="shared" si="8"/>
        <v>0</v>
      </c>
    </row>
    <row r="203" spans="1:12" x14ac:dyDescent="0.2">
      <c r="A203" s="238" t="s">
        <v>341</v>
      </c>
      <c r="B203" s="95"/>
      <c r="C203" s="95"/>
      <c r="D203" s="95"/>
      <c r="E203" s="310">
        <v>86.699996948242188</v>
      </c>
      <c r="F203" s="210">
        <f t="shared" si="7"/>
        <v>0</v>
      </c>
      <c r="G203" s="310">
        <v>64</v>
      </c>
      <c r="H203" s="310">
        <v>4.5999999046325684</v>
      </c>
      <c r="I203" s="311">
        <v>15</v>
      </c>
      <c r="J203" s="239">
        <f t="shared" si="8"/>
        <v>0</v>
      </c>
      <c r="K203" s="239">
        <f t="shared" si="8"/>
        <v>0</v>
      </c>
      <c r="L203" s="239">
        <f t="shared" si="8"/>
        <v>0</v>
      </c>
    </row>
    <row r="204" spans="1:12" x14ac:dyDescent="0.2">
      <c r="A204" s="238" t="s">
        <v>342</v>
      </c>
      <c r="B204" s="95"/>
      <c r="C204" s="95"/>
      <c r="D204" s="95"/>
      <c r="E204" s="309">
        <v>90</v>
      </c>
      <c r="F204" s="210">
        <f t="shared" si="7"/>
        <v>0</v>
      </c>
      <c r="G204" s="310">
        <v>25.600000381469727</v>
      </c>
      <c r="H204" s="310">
        <v>2.7000000476837158</v>
      </c>
      <c r="I204" s="311">
        <v>15</v>
      </c>
      <c r="J204" s="239">
        <f t="shared" si="8"/>
        <v>0</v>
      </c>
      <c r="K204" s="239">
        <f t="shared" si="8"/>
        <v>0</v>
      </c>
      <c r="L204" s="239">
        <f t="shared" si="8"/>
        <v>0</v>
      </c>
    </row>
    <row r="205" spans="1:12" x14ac:dyDescent="0.2">
      <c r="A205" s="238" t="s">
        <v>343</v>
      </c>
      <c r="B205" s="95"/>
      <c r="C205" s="95"/>
      <c r="D205" s="95"/>
      <c r="E205" s="309">
        <v>30</v>
      </c>
      <c r="F205" s="210">
        <f t="shared" si="7"/>
        <v>0</v>
      </c>
      <c r="G205" s="310">
        <v>13</v>
      </c>
      <c r="H205" s="310">
        <v>2.4000000953674316</v>
      </c>
      <c r="I205" s="311">
        <v>10.399999618530273</v>
      </c>
      <c r="J205" s="239">
        <f t="shared" si="8"/>
        <v>0</v>
      </c>
      <c r="K205" s="239">
        <f t="shared" si="8"/>
        <v>0</v>
      </c>
      <c r="L205" s="239">
        <f t="shared" si="8"/>
        <v>0</v>
      </c>
    </row>
    <row r="206" spans="1:12" x14ac:dyDescent="0.2">
      <c r="A206" s="238" t="s">
        <v>344</v>
      </c>
      <c r="B206" s="95"/>
      <c r="C206" s="95"/>
      <c r="D206" s="95"/>
      <c r="E206" s="309">
        <v>85</v>
      </c>
      <c r="F206" s="210">
        <f t="shared" si="7"/>
        <v>0</v>
      </c>
      <c r="G206" s="310">
        <v>15</v>
      </c>
      <c r="H206" s="310">
        <v>3.5</v>
      </c>
      <c r="I206" s="311">
        <v>3.5999999046325684</v>
      </c>
      <c r="J206" s="239">
        <f t="shared" si="8"/>
        <v>0</v>
      </c>
      <c r="K206" s="239">
        <f t="shared" si="8"/>
        <v>0</v>
      </c>
      <c r="L206" s="239">
        <f t="shared" si="8"/>
        <v>0</v>
      </c>
    </row>
    <row r="207" spans="1:12" x14ac:dyDescent="0.2">
      <c r="A207" s="238" t="s">
        <v>345</v>
      </c>
      <c r="B207" s="95"/>
      <c r="C207" s="95"/>
      <c r="D207" s="95"/>
      <c r="E207" s="309">
        <v>88</v>
      </c>
      <c r="F207" s="210">
        <f t="shared" si="7"/>
        <v>0</v>
      </c>
      <c r="G207" s="310">
        <v>5.3000001907348633</v>
      </c>
      <c r="H207" s="310">
        <v>1</v>
      </c>
      <c r="I207" s="311">
        <v>7.5</v>
      </c>
      <c r="J207" s="239">
        <f t="shared" si="8"/>
        <v>0</v>
      </c>
      <c r="K207" s="239">
        <f t="shared" si="8"/>
        <v>0</v>
      </c>
      <c r="L207" s="239">
        <f t="shared" si="8"/>
        <v>0</v>
      </c>
    </row>
    <row r="208" spans="1:12" ht="25.5" x14ac:dyDescent="0.2">
      <c r="A208" s="238" t="s">
        <v>346</v>
      </c>
      <c r="B208" s="95"/>
      <c r="C208" s="95"/>
      <c r="D208" s="95"/>
      <c r="E208" s="309">
        <v>85</v>
      </c>
      <c r="F208" s="210">
        <f t="shared" si="7"/>
        <v>0</v>
      </c>
      <c r="G208" s="310">
        <v>12.600000381469727</v>
      </c>
      <c r="H208" s="310">
        <v>1.6000000238418579</v>
      </c>
      <c r="I208" s="311">
        <v>0</v>
      </c>
      <c r="J208" s="239">
        <f t="shared" si="8"/>
        <v>0</v>
      </c>
      <c r="K208" s="239">
        <f t="shared" si="8"/>
        <v>0</v>
      </c>
      <c r="L208" s="239">
        <f t="shared" si="8"/>
        <v>0</v>
      </c>
    </row>
    <row r="209" spans="1:12" x14ac:dyDescent="0.2">
      <c r="A209" s="238" t="s">
        <v>347</v>
      </c>
      <c r="B209" s="95"/>
      <c r="C209" s="95"/>
      <c r="D209" s="95"/>
      <c r="E209" s="309">
        <v>67</v>
      </c>
      <c r="F209" s="210">
        <f t="shared" si="7"/>
        <v>0</v>
      </c>
      <c r="G209" s="310">
        <v>27.5</v>
      </c>
      <c r="H209" s="310">
        <v>2.5</v>
      </c>
      <c r="I209" s="311">
        <v>0</v>
      </c>
      <c r="J209" s="239">
        <f t="shared" si="8"/>
        <v>0</v>
      </c>
      <c r="K209" s="239">
        <f t="shared" si="8"/>
        <v>0</v>
      </c>
      <c r="L209" s="239">
        <f t="shared" si="8"/>
        <v>0</v>
      </c>
    </row>
    <row r="210" spans="1:12" ht="25.5" x14ac:dyDescent="0.2">
      <c r="A210" s="238" t="s">
        <v>348</v>
      </c>
      <c r="B210" s="95"/>
      <c r="C210" s="95"/>
      <c r="D210" s="95"/>
      <c r="E210" s="309">
        <v>85</v>
      </c>
      <c r="F210" s="210">
        <f t="shared" si="7"/>
        <v>0</v>
      </c>
      <c r="G210" s="310">
        <v>22</v>
      </c>
      <c r="H210" s="310">
        <v>4</v>
      </c>
      <c r="I210" s="311">
        <v>0</v>
      </c>
      <c r="J210" s="239">
        <f t="shared" si="8"/>
        <v>0</v>
      </c>
      <c r="K210" s="239">
        <f t="shared" si="8"/>
        <v>0</v>
      </c>
      <c r="L210" s="239">
        <f t="shared" si="8"/>
        <v>0</v>
      </c>
    </row>
    <row r="211" spans="1:12" x14ac:dyDescent="0.2">
      <c r="A211" s="238" t="s">
        <v>349</v>
      </c>
      <c r="B211" s="95"/>
      <c r="C211" s="95"/>
      <c r="D211" s="95"/>
      <c r="E211" s="309">
        <v>74</v>
      </c>
      <c r="F211" s="210">
        <f t="shared" si="7"/>
        <v>0</v>
      </c>
      <c r="G211" s="310">
        <v>9</v>
      </c>
      <c r="H211" s="310">
        <v>2.880000114440918</v>
      </c>
      <c r="I211" s="311">
        <v>0</v>
      </c>
      <c r="J211" s="239">
        <f t="shared" si="8"/>
        <v>0</v>
      </c>
      <c r="K211" s="239">
        <f t="shared" si="8"/>
        <v>0</v>
      </c>
      <c r="L211" s="239">
        <f t="shared" si="8"/>
        <v>0</v>
      </c>
    </row>
    <row r="212" spans="1:12" x14ac:dyDescent="0.2">
      <c r="A212" s="238" t="s">
        <v>350</v>
      </c>
      <c r="B212" s="95"/>
      <c r="C212" s="95"/>
      <c r="D212" s="95"/>
      <c r="E212" s="309">
        <v>76</v>
      </c>
      <c r="F212" s="210">
        <f t="shared" si="7"/>
        <v>0</v>
      </c>
      <c r="G212" s="310">
        <v>23.399999618530273</v>
      </c>
      <c r="H212" s="310">
        <v>3.2799999713897705</v>
      </c>
      <c r="I212" s="311">
        <v>39.799999237060547</v>
      </c>
      <c r="J212" s="239">
        <f t="shared" si="8"/>
        <v>0</v>
      </c>
      <c r="K212" s="239">
        <f t="shared" si="8"/>
        <v>0</v>
      </c>
      <c r="L212" s="239">
        <f t="shared" si="8"/>
        <v>0</v>
      </c>
    </row>
    <row r="213" spans="1:12" x14ac:dyDescent="0.2">
      <c r="A213" s="238" t="s">
        <v>351</v>
      </c>
      <c r="B213" s="95"/>
      <c r="C213" s="95"/>
      <c r="D213" s="95"/>
      <c r="E213" s="309">
        <v>100</v>
      </c>
      <c r="F213" s="210">
        <f t="shared" si="7"/>
        <v>0</v>
      </c>
      <c r="G213" s="310">
        <v>50</v>
      </c>
      <c r="H213" s="310">
        <v>30</v>
      </c>
      <c r="I213" s="311">
        <v>28</v>
      </c>
      <c r="J213" s="239">
        <f t="shared" si="8"/>
        <v>0</v>
      </c>
      <c r="K213" s="239">
        <f t="shared" si="8"/>
        <v>0</v>
      </c>
      <c r="L213" s="239">
        <f t="shared" si="8"/>
        <v>0</v>
      </c>
    </row>
    <row r="214" spans="1:12" x14ac:dyDescent="0.2">
      <c r="A214" s="238" t="s">
        <v>71</v>
      </c>
      <c r="B214" s="95"/>
      <c r="C214" s="95"/>
      <c r="D214" s="95"/>
      <c r="E214" s="309">
        <v>85</v>
      </c>
      <c r="F214" s="210">
        <f t="shared" si="7"/>
        <v>0</v>
      </c>
      <c r="G214" s="310">
        <v>19.299999237060547</v>
      </c>
      <c r="H214" s="310">
        <v>4</v>
      </c>
      <c r="I214" s="311">
        <v>5.8000001907348633</v>
      </c>
      <c r="J214" s="239">
        <f t="shared" si="8"/>
        <v>0</v>
      </c>
      <c r="K214" s="239">
        <f t="shared" si="8"/>
        <v>0</v>
      </c>
      <c r="L214" s="239">
        <f t="shared" si="8"/>
        <v>0</v>
      </c>
    </row>
    <row r="215" spans="1:12" x14ac:dyDescent="0.2">
      <c r="A215" s="238" t="s">
        <v>352</v>
      </c>
      <c r="B215" s="95"/>
      <c r="C215" s="95"/>
      <c r="D215" s="95"/>
      <c r="E215" s="309">
        <v>85</v>
      </c>
      <c r="F215" s="210">
        <f t="shared" si="7"/>
        <v>0</v>
      </c>
      <c r="G215" s="310">
        <v>5.5999999046325684</v>
      </c>
      <c r="H215" s="310">
        <v>1</v>
      </c>
      <c r="I215" s="311">
        <v>9.5</v>
      </c>
      <c r="J215" s="239">
        <f t="shared" si="8"/>
        <v>0</v>
      </c>
      <c r="K215" s="239">
        <f t="shared" si="8"/>
        <v>0</v>
      </c>
      <c r="L215" s="239">
        <f t="shared" si="8"/>
        <v>0</v>
      </c>
    </row>
    <row r="216" spans="1:12" x14ac:dyDescent="0.2">
      <c r="A216" s="194" t="s">
        <v>288</v>
      </c>
      <c r="B216" s="95"/>
      <c r="C216" s="95"/>
      <c r="D216" s="95"/>
      <c r="E216" s="304">
        <v>85</v>
      </c>
      <c r="F216" s="210">
        <f t="shared" si="7"/>
        <v>0</v>
      </c>
      <c r="G216" s="305">
        <v>21</v>
      </c>
      <c r="H216" s="305">
        <v>4.5999999046325684</v>
      </c>
      <c r="I216" s="312">
        <v>9.3000001907348633</v>
      </c>
      <c r="J216" s="239">
        <f t="shared" si="8"/>
        <v>0</v>
      </c>
      <c r="K216" s="239">
        <f t="shared" si="8"/>
        <v>0</v>
      </c>
      <c r="L216" s="239">
        <f t="shared" si="8"/>
        <v>0</v>
      </c>
    </row>
    <row r="217" spans="1:12" x14ac:dyDescent="0.2">
      <c r="A217" s="194" t="s">
        <v>64</v>
      </c>
      <c r="B217" s="95"/>
      <c r="C217" s="95"/>
      <c r="D217" s="95"/>
      <c r="E217" s="304">
        <v>20</v>
      </c>
      <c r="F217" s="210">
        <f t="shared" si="7"/>
        <v>0</v>
      </c>
      <c r="G217" s="305">
        <v>17.299999237060547</v>
      </c>
      <c r="H217" s="305">
        <v>2</v>
      </c>
      <c r="I217" s="312">
        <v>24</v>
      </c>
      <c r="J217" s="239">
        <f t="shared" si="8"/>
        <v>0</v>
      </c>
      <c r="K217" s="239">
        <f t="shared" si="8"/>
        <v>0</v>
      </c>
      <c r="L217" s="239">
        <f t="shared" si="8"/>
        <v>0</v>
      </c>
    </row>
    <row r="218" spans="1:12" x14ac:dyDescent="0.2">
      <c r="A218" s="194" t="s">
        <v>86</v>
      </c>
      <c r="B218" s="95"/>
      <c r="C218" s="95"/>
      <c r="D218" s="95"/>
      <c r="E218" s="304">
        <v>100</v>
      </c>
      <c r="F218" s="210">
        <f t="shared" si="7"/>
        <v>0</v>
      </c>
      <c r="G218" s="305">
        <v>36</v>
      </c>
      <c r="H218" s="305">
        <v>10.5</v>
      </c>
      <c r="I218" s="312">
        <v>17</v>
      </c>
      <c r="J218" s="239">
        <f t="shared" si="8"/>
        <v>0</v>
      </c>
      <c r="K218" s="239">
        <f t="shared" si="8"/>
        <v>0</v>
      </c>
      <c r="L218" s="239">
        <f t="shared" si="8"/>
        <v>0</v>
      </c>
    </row>
    <row r="219" spans="1:12" ht="25.5" x14ac:dyDescent="0.2">
      <c r="A219" s="194" t="s">
        <v>353</v>
      </c>
      <c r="B219" s="95"/>
      <c r="C219" s="95"/>
      <c r="D219" s="95"/>
      <c r="E219" s="304">
        <v>91</v>
      </c>
      <c r="F219" s="210">
        <f t="shared" si="7"/>
        <v>0</v>
      </c>
      <c r="G219" s="305">
        <v>15.699999809265137</v>
      </c>
      <c r="H219" s="305">
        <v>3.309999942779541</v>
      </c>
      <c r="I219" s="312">
        <v>0</v>
      </c>
      <c r="J219" s="239">
        <f t="shared" si="8"/>
        <v>0</v>
      </c>
      <c r="K219" s="239">
        <f t="shared" si="8"/>
        <v>0</v>
      </c>
      <c r="L219" s="239">
        <f t="shared" si="8"/>
        <v>0</v>
      </c>
    </row>
    <row r="220" spans="1:12" x14ac:dyDescent="0.2">
      <c r="A220" s="194" t="s">
        <v>354</v>
      </c>
      <c r="B220" s="95"/>
      <c r="C220" s="95"/>
      <c r="D220" s="95"/>
      <c r="E220" s="304">
        <v>90</v>
      </c>
      <c r="F220" s="210">
        <f t="shared" si="7"/>
        <v>0</v>
      </c>
      <c r="G220" s="305">
        <v>40.799999237060547</v>
      </c>
      <c r="H220" s="305">
        <v>7.5</v>
      </c>
      <c r="I220" s="312">
        <v>0</v>
      </c>
      <c r="J220" s="239">
        <f t="shared" si="8"/>
        <v>0</v>
      </c>
      <c r="K220" s="239">
        <f t="shared" si="8"/>
        <v>0</v>
      </c>
      <c r="L220" s="239">
        <f t="shared" si="8"/>
        <v>0</v>
      </c>
    </row>
    <row r="221" spans="1:12" x14ac:dyDescent="0.2">
      <c r="A221" s="194" t="s">
        <v>355</v>
      </c>
      <c r="B221" s="95"/>
      <c r="C221" s="95"/>
      <c r="D221" s="95"/>
      <c r="E221" s="304">
        <v>87</v>
      </c>
      <c r="F221" s="210">
        <f t="shared" si="7"/>
        <v>0</v>
      </c>
      <c r="G221" s="305">
        <v>27.200000762939453</v>
      </c>
      <c r="H221" s="305">
        <v>13</v>
      </c>
      <c r="I221" s="312">
        <v>0</v>
      </c>
      <c r="J221" s="239">
        <f t="shared" si="8"/>
        <v>0</v>
      </c>
      <c r="K221" s="239">
        <f t="shared" si="8"/>
        <v>0</v>
      </c>
      <c r="L221" s="239">
        <f t="shared" si="8"/>
        <v>0</v>
      </c>
    </row>
    <row r="222" spans="1:12" x14ac:dyDescent="0.2">
      <c r="A222" s="194" t="s">
        <v>356</v>
      </c>
      <c r="B222" s="95"/>
      <c r="C222" s="95"/>
      <c r="D222" s="95"/>
      <c r="E222" s="304">
        <v>89</v>
      </c>
      <c r="F222" s="210">
        <f t="shared" si="7"/>
        <v>0</v>
      </c>
      <c r="G222" s="305">
        <v>18.899999618530273</v>
      </c>
      <c r="H222" s="305">
        <v>13</v>
      </c>
      <c r="I222" s="312">
        <v>0</v>
      </c>
      <c r="J222" s="239">
        <f t="shared" si="8"/>
        <v>0</v>
      </c>
      <c r="K222" s="239">
        <f t="shared" si="8"/>
        <v>0</v>
      </c>
      <c r="L222" s="239">
        <f t="shared" si="8"/>
        <v>0</v>
      </c>
    </row>
    <row r="223" spans="1:12" x14ac:dyDescent="0.2">
      <c r="A223" s="194" t="s">
        <v>357</v>
      </c>
      <c r="B223" s="95"/>
      <c r="C223" s="95"/>
      <c r="D223" s="95"/>
      <c r="E223" s="304">
        <v>20</v>
      </c>
      <c r="F223" s="210">
        <f t="shared" si="7"/>
        <v>0</v>
      </c>
      <c r="G223" s="305">
        <v>11.699999809265137</v>
      </c>
      <c r="H223" s="305">
        <v>3.5099999904632568</v>
      </c>
      <c r="I223" s="312">
        <v>0</v>
      </c>
      <c r="J223" s="239">
        <f t="shared" si="8"/>
        <v>0</v>
      </c>
      <c r="K223" s="239">
        <f t="shared" si="8"/>
        <v>0</v>
      </c>
      <c r="L223" s="239">
        <f t="shared" si="8"/>
        <v>0</v>
      </c>
    </row>
    <row r="224" spans="1:12" x14ac:dyDescent="0.2">
      <c r="A224" s="194" t="s">
        <v>358</v>
      </c>
      <c r="B224" s="95"/>
      <c r="C224" s="95"/>
      <c r="D224" s="95"/>
      <c r="E224" s="304">
        <v>89</v>
      </c>
      <c r="F224" s="210">
        <f t="shared" si="7"/>
        <v>0</v>
      </c>
      <c r="G224" s="305">
        <v>84</v>
      </c>
      <c r="H224" s="305">
        <v>6.5999999046325684</v>
      </c>
      <c r="I224" s="312">
        <v>0</v>
      </c>
      <c r="J224" s="239">
        <f t="shared" si="8"/>
        <v>0</v>
      </c>
      <c r="K224" s="239">
        <f t="shared" si="8"/>
        <v>0</v>
      </c>
      <c r="L224" s="239">
        <f t="shared" si="8"/>
        <v>0</v>
      </c>
    </row>
    <row r="225" spans="1:12" x14ac:dyDescent="0.2">
      <c r="A225" s="194" t="s">
        <v>359</v>
      </c>
      <c r="B225" s="95"/>
      <c r="C225" s="95"/>
      <c r="D225" s="95"/>
      <c r="E225" s="304">
        <v>90</v>
      </c>
      <c r="F225" s="210">
        <f t="shared" si="7"/>
        <v>0</v>
      </c>
      <c r="G225" s="305">
        <v>89</v>
      </c>
      <c r="H225" s="305">
        <v>6.5999999046325684</v>
      </c>
      <c r="I225" s="312">
        <v>0</v>
      </c>
      <c r="J225" s="239">
        <f t="shared" si="8"/>
        <v>0</v>
      </c>
      <c r="K225" s="239">
        <f t="shared" si="8"/>
        <v>0</v>
      </c>
      <c r="L225" s="239">
        <f t="shared" si="8"/>
        <v>0</v>
      </c>
    </row>
    <row r="226" spans="1:12" x14ac:dyDescent="0.2">
      <c r="A226" s="194" t="s">
        <v>360</v>
      </c>
      <c r="B226" s="95"/>
      <c r="C226" s="95"/>
      <c r="D226" s="95"/>
      <c r="E226" s="304">
        <v>89</v>
      </c>
      <c r="F226" s="210">
        <f t="shared" si="7"/>
        <v>0</v>
      </c>
      <c r="G226" s="305">
        <v>62.5</v>
      </c>
      <c r="H226" s="305">
        <v>12.399999618530273</v>
      </c>
      <c r="I226" s="312">
        <v>10.800000190734863</v>
      </c>
      <c r="J226" s="239">
        <f t="shared" si="8"/>
        <v>0</v>
      </c>
      <c r="K226" s="239">
        <f t="shared" si="8"/>
        <v>0</v>
      </c>
      <c r="L226" s="239">
        <f t="shared" si="8"/>
        <v>0</v>
      </c>
    </row>
    <row r="227" spans="1:12" x14ac:dyDescent="0.2">
      <c r="A227" s="194" t="s">
        <v>361</v>
      </c>
      <c r="B227" s="95"/>
      <c r="C227" s="95"/>
      <c r="D227" s="95"/>
      <c r="E227" s="304">
        <v>90</v>
      </c>
      <c r="F227" s="210">
        <f t="shared" ref="F227:F238" si="9">(B227+C227-D227)*E227/100</f>
        <v>0</v>
      </c>
      <c r="G227" s="305">
        <v>38.200000762939453</v>
      </c>
      <c r="H227" s="305">
        <v>6.5999999046325684</v>
      </c>
      <c r="I227" s="312">
        <v>0</v>
      </c>
      <c r="J227" s="239">
        <f t="shared" ref="J227:L238" si="10">$F227*G227</f>
        <v>0</v>
      </c>
      <c r="K227" s="239">
        <f t="shared" si="10"/>
        <v>0</v>
      </c>
      <c r="L227" s="239">
        <f t="shared" si="10"/>
        <v>0</v>
      </c>
    </row>
    <row r="228" spans="1:12" x14ac:dyDescent="0.2">
      <c r="A228" s="194" t="s">
        <v>362</v>
      </c>
      <c r="B228" s="95"/>
      <c r="C228" s="95"/>
      <c r="D228" s="95"/>
      <c r="E228" s="304">
        <v>89</v>
      </c>
      <c r="F228" s="210">
        <f t="shared" si="9"/>
        <v>0</v>
      </c>
      <c r="G228" s="305">
        <v>55</v>
      </c>
      <c r="H228" s="305">
        <v>9.5</v>
      </c>
      <c r="I228" s="312">
        <v>10.800000190734863</v>
      </c>
      <c r="J228" s="239">
        <f t="shared" si="10"/>
        <v>0</v>
      </c>
      <c r="K228" s="239">
        <f t="shared" si="10"/>
        <v>0</v>
      </c>
      <c r="L228" s="239">
        <f t="shared" si="10"/>
        <v>0</v>
      </c>
    </row>
    <row r="229" spans="1:12" x14ac:dyDescent="0.2">
      <c r="A229" s="194" t="s">
        <v>363</v>
      </c>
      <c r="B229" s="95"/>
      <c r="C229" s="95"/>
      <c r="D229" s="95"/>
      <c r="E229" s="304">
        <v>100</v>
      </c>
      <c r="F229" s="210">
        <f t="shared" si="9"/>
        <v>0</v>
      </c>
      <c r="G229" s="305">
        <v>70.400001525878906</v>
      </c>
      <c r="H229" s="305">
        <v>7</v>
      </c>
      <c r="I229" s="312">
        <v>17.399999618530273</v>
      </c>
      <c r="J229" s="239">
        <f t="shared" si="10"/>
        <v>0</v>
      </c>
      <c r="K229" s="239">
        <f t="shared" si="10"/>
        <v>0</v>
      </c>
      <c r="L229" s="239">
        <f t="shared" si="10"/>
        <v>0</v>
      </c>
    </row>
    <row r="230" spans="1:12" x14ac:dyDescent="0.2">
      <c r="A230" s="194" t="s">
        <v>364</v>
      </c>
      <c r="B230" s="95"/>
      <c r="C230" s="95"/>
      <c r="D230" s="95"/>
      <c r="E230" s="304">
        <v>100</v>
      </c>
      <c r="F230" s="210">
        <f t="shared" si="9"/>
        <v>0</v>
      </c>
      <c r="G230" s="305">
        <v>73.599998474121094</v>
      </c>
      <c r="H230" s="305">
        <v>7.4000000953674316</v>
      </c>
      <c r="I230" s="312">
        <v>17.399999618530273</v>
      </c>
      <c r="J230" s="239">
        <f t="shared" si="10"/>
        <v>0</v>
      </c>
      <c r="K230" s="239">
        <f t="shared" si="10"/>
        <v>0</v>
      </c>
      <c r="L230" s="239">
        <f t="shared" si="10"/>
        <v>0</v>
      </c>
    </row>
    <row r="231" spans="1:12" x14ac:dyDescent="0.2">
      <c r="A231" s="194" t="s">
        <v>365</v>
      </c>
      <c r="B231" s="95"/>
      <c r="C231" s="95"/>
      <c r="D231" s="95"/>
      <c r="E231" s="304">
        <v>100</v>
      </c>
      <c r="F231" s="210">
        <f t="shared" si="9"/>
        <v>0</v>
      </c>
      <c r="G231" s="305">
        <v>78</v>
      </c>
      <c r="H231" s="305">
        <v>7.8000001907348633</v>
      </c>
      <c r="I231" s="312">
        <v>17.399999618530273</v>
      </c>
      <c r="J231" s="239">
        <f t="shared" si="10"/>
        <v>0</v>
      </c>
      <c r="K231" s="239">
        <f t="shared" si="10"/>
        <v>0</v>
      </c>
      <c r="L231" s="239">
        <f t="shared" si="10"/>
        <v>0</v>
      </c>
    </row>
    <row r="232" spans="1:12" x14ac:dyDescent="0.2">
      <c r="A232" s="194" t="s">
        <v>366</v>
      </c>
      <c r="B232" s="95"/>
      <c r="C232" s="95"/>
      <c r="D232" s="95"/>
      <c r="E232" s="304">
        <v>100</v>
      </c>
      <c r="F232" s="210">
        <f t="shared" si="9"/>
        <v>0</v>
      </c>
      <c r="G232" s="305">
        <v>67.199996948242187</v>
      </c>
      <c r="H232" s="305">
        <v>7.8000001907348633</v>
      </c>
      <c r="I232" s="312">
        <v>17.399999618530273</v>
      </c>
      <c r="J232" s="239">
        <f t="shared" si="10"/>
        <v>0</v>
      </c>
      <c r="K232" s="239">
        <f t="shared" si="10"/>
        <v>0</v>
      </c>
      <c r="L232" s="239">
        <f t="shared" si="10"/>
        <v>0</v>
      </c>
    </row>
    <row r="233" spans="1:12" x14ac:dyDescent="0.2">
      <c r="A233" s="194" t="s">
        <v>367</v>
      </c>
      <c r="B233" s="95"/>
      <c r="C233" s="95"/>
      <c r="D233" s="95"/>
      <c r="E233" s="304">
        <v>90</v>
      </c>
      <c r="F233" s="210">
        <f t="shared" si="9"/>
        <v>0</v>
      </c>
      <c r="G233" s="305">
        <v>61</v>
      </c>
      <c r="H233" s="305">
        <v>10.300000190734863</v>
      </c>
      <c r="I233" s="312">
        <v>10</v>
      </c>
      <c r="J233" s="239">
        <f t="shared" si="10"/>
        <v>0</v>
      </c>
      <c r="K233" s="239">
        <f t="shared" si="10"/>
        <v>0</v>
      </c>
      <c r="L233" s="239">
        <f t="shared" si="10"/>
        <v>0</v>
      </c>
    </row>
    <row r="234" spans="1:12" x14ac:dyDescent="0.2">
      <c r="A234" s="194" t="s">
        <v>69</v>
      </c>
      <c r="B234" s="95"/>
      <c r="C234" s="95"/>
      <c r="D234" s="95"/>
      <c r="E234" s="304">
        <v>85</v>
      </c>
      <c r="F234" s="210">
        <f t="shared" si="9"/>
        <v>0</v>
      </c>
      <c r="G234" s="305">
        <v>20.799999237060547</v>
      </c>
      <c r="H234" s="305">
        <v>4.5999999046325684</v>
      </c>
      <c r="I234" s="312">
        <v>5</v>
      </c>
      <c r="J234" s="239">
        <f t="shared" si="10"/>
        <v>0</v>
      </c>
      <c r="K234" s="239">
        <f t="shared" si="10"/>
        <v>0</v>
      </c>
      <c r="L234" s="239">
        <f t="shared" si="10"/>
        <v>0</v>
      </c>
    </row>
    <row r="235" spans="1:12" x14ac:dyDescent="0.2">
      <c r="A235" s="194" t="s">
        <v>368</v>
      </c>
      <c r="B235" s="95"/>
      <c r="C235" s="95"/>
      <c r="D235" s="95"/>
      <c r="E235" s="304">
        <v>99</v>
      </c>
      <c r="F235" s="210">
        <f>(B235+C235-D235)*E235/100</f>
        <v>0</v>
      </c>
      <c r="G235" s="305">
        <v>460</v>
      </c>
      <c r="H235" s="305">
        <v>0</v>
      </c>
      <c r="I235" s="312">
        <v>0</v>
      </c>
      <c r="J235" s="239">
        <f t="shared" si="10"/>
        <v>0</v>
      </c>
      <c r="K235" s="239">
        <f t="shared" si="10"/>
        <v>0</v>
      </c>
      <c r="L235" s="239">
        <f t="shared" si="10"/>
        <v>0</v>
      </c>
    </row>
    <row r="236" spans="1:12" x14ac:dyDescent="0.2">
      <c r="A236" s="191" t="s">
        <v>197</v>
      </c>
      <c r="B236" s="95"/>
      <c r="C236" s="95"/>
      <c r="D236" s="95"/>
      <c r="E236" s="95"/>
      <c r="F236" s="210">
        <f t="shared" si="9"/>
        <v>0</v>
      </c>
      <c r="G236" s="95"/>
      <c r="H236" s="95"/>
      <c r="I236" s="95"/>
      <c r="J236" s="239">
        <f t="shared" si="10"/>
        <v>0</v>
      </c>
      <c r="K236" s="239">
        <f t="shared" si="10"/>
        <v>0</v>
      </c>
      <c r="L236" s="239">
        <f t="shared" si="10"/>
        <v>0</v>
      </c>
    </row>
    <row r="237" spans="1:12" x14ac:dyDescent="0.2">
      <c r="A237" s="191" t="s">
        <v>197</v>
      </c>
      <c r="B237" s="95"/>
      <c r="C237" s="95"/>
      <c r="D237" s="95"/>
      <c r="E237" s="95"/>
      <c r="F237" s="210">
        <f>(B237+C237-D237)*E237/100</f>
        <v>0</v>
      </c>
      <c r="G237" s="95"/>
      <c r="H237" s="95"/>
      <c r="I237" s="95"/>
      <c r="J237" s="239">
        <f t="shared" si="10"/>
        <v>0</v>
      </c>
      <c r="K237" s="239">
        <f t="shared" si="10"/>
        <v>0</v>
      </c>
      <c r="L237" s="239">
        <f t="shared" si="10"/>
        <v>0</v>
      </c>
    </row>
    <row r="238" spans="1:12" ht="13.5" thickBot="1" x14ac:dyDescent="0.25">
      <c r="A238" s="191" t="s">
        <v>197</v>
      </c>
      <c r="B238" s="95"/>
      <c r="C238" s="95"/>
      <c r="D238" s="95"/>
      <c r="E238" s="95"/>
      <c r="F238" s="210">
        <f t="shared" si="9"/>
        <v>0</v>
      </c>
      <c r="G238" s="95"/>
      <c r="H238" s="95"/>
      <c r="I238" s="95"/>
      <c r="J238" s="313">
        <f t="shared" si="10"/>
        <v>0</v>
      </c>
      <c r="K238" s="313">
        <f t="shared" si="10"/>
        <v>0</v>
      </c>
      <c r="L238" s="313">
        <f t="shared" si="10"/>
        <v>0</v>
      </c>
    </row>
    <row r="239" spans="1:12" ht="13.5" thickBot="1" x14ac:dyDescent="0.25">
      <c r="A239" s="240"/>
      <c r="B239" s="241"/>
      <c r="C239" s="241"/>
      <c r="D239" s="241"/>
      <c r="E239" s="241"/>
      <c r="F239" s="241"/>
      <c r="G239" s="241"/>
      <c r="H239" s="314" t="s">
        <v>369</v>
      </c>
      <c r="I239" s="307" t="s">
        <v>199</v>
      </c>
      <c r="J239" s="315">
        <f>SUM(J163:J238)</f>
        <v>0</v>
      </c>
      <c r="K239" s="315">
        <f>SUM(K163:K238)</f>
        <v>0</v>
      </c>
      <c r="L239" s="308">
        <f>SUM(L163:L238)</f>
        <v>0</v>
      </c>
    </row>
    <row r="240" spans="1:12" x14ac:dyDescent="0.2">
      <c r="A240" s="175"/>
      <c r="B240" s="175"/>
      <c r="C240" s="175"/>
      <c r="D240" s="175"/>
      <c r="E240" s="175"/>
      <c r="F240" s="175"/>
      <c r="G240" s="175"/>
      <c r="H240" s="175"/>
      <c r="I240" s="175"/>
      <c r="J240" s="175"/>
      <c r="K240" s="175"/>
      <c r="L240" s="175"/>
    </row>
    <row r="241" spans="1:12" ht="20.25" customHeight="1" x14ac:dyDescent="0.2">
      <c r="A241" s="516" t="s">
        <v>370</v>
      </c>
      <c r="B241" s="516"/>
      <c r="C241" s="516"/>
      <c r="D241" s="516"/>
      <c r="E241" s="516"/>
      <c r="F241" s="516"/>
      <c r="G241" s="516"/>
      <c r="H241" s="516"/>
      <c r="I241" s="516"/>
      <c r="J241" s="177"/>
      <c r="L241" s="182"/>
    </row>
    <row r="242" spans="1:12" ht="20.25" x14ac:dyDescent="0.2">
      <c r="A242" s="242"/>
      <c r="B242" s="243"/>
      <c r="C242" s="243"/>
      <c r="D242" s="243"/>
      <c r="E242" s="243"/>
      <c r="F242" s="243"/>
      <c r="G242" s="243"/>
      <c r="H242" s="243"/>
      <c r="I242" s="244"/>
      <c r="J242" s="177"/>
      <c r="K242" s="175"/>
      <c r="L242" s="177"/>
    </row>
    <row r="243" spans="1:12" x14ac:dyDescent="0.2">
      <c r="A243" s="175"/>
      <c r="B243" s="175"/>
      <c r="C243" s="175"/>
      <c r="D243" s="175"/>
      <c r="E243" s="175"/>
      <c r="F243" s="175"/>
      <c r="G243" s="175"/>
      <c r="H243" s="175"/>
      <c r="I243" s="175"/>
      <c r="J243" s="175"/>
      <c r="K243" s="175"/>
      <c r="L243" s="175"/>
    </row>
    <row r="244" spans="1:12" ht="38.25" x14ac:dyDescent="0.2">
      <c r="A244" s="542" t="s">
        <v>371</v>
      </c>
      <c r="B244" s="245" t="s">
        <v>372</v>
      </c>
      <c r="C244" s="426" t="s">
        <v>373</v>
      </c>
      <c r="D244" s="201" t="s">
        <v>167</v>
      </c>
      <c r="E244" s="201" t="s">
        <v>201</v>
      </c>
      <c r="F244" s="201" t="s">
        <v>202</v>
      </c>
      <c r="G244" s="226" t="s">
        <v>167</v>
      </c>
      <c r="H244" s="226" t="s">
        <v>201</v>
      </c>
      <c r="I244" s="226" t="s">
        <v>202</v>
      </c>
      <c r="J244" s="175"/>
      <c r="L244" s="175"/>
    </row>
    <row r="245" spans="1:12" ht="25.5" x14ac:dyDescent="0.2">
      <c r="A245" s="543"/>
      <c r="B245" s="246" t="s">
        <v>374</v>
      </c>
      <c r="C245" s="246" t="s">
        <v>199</v>
      </c>
      <c r="D245" s="246" t="s">
        <v>375</v>
      </c>
      <c r="E245" s="246" t="s">
        <v>376</v>
      </c>
      <c r="F245" s="246" t="s">
        <v>377</v>
      </c>
      <c r="G245" s="225" t="s">
        <v>279</v>
      </c>
      <c r="H245" s="225" t="s">
        <v>302</v>
      </c>
      <c r="I245" s="225" t="s">
        <v>303</v>
      </c>
      <c r="J245" s="175"/>
      <c r="L245" s="175"/>
    </row>
    <row r="246" spans="1:12" x14ac:dyDescent="0.2">
      <c r="A246" s="247" t="s">
        <v>378</v>
      </c>
      <c r="B246" s="329"/>
      <c r="C246" s="309">
        <v>15</v>
      </c>
      <c r="D246" s="310">
        <v>28.5</v>
      </c>
      <c r="E246" s="310">
        <v>6.0999999046325684</v>
      </c>
      <c r="F246" s="310">
        <v>1.7999999523162842</v>
      </c>
      <c r="G246" s="325">
        <f t="shared" ref="G246:I269" si="11">($B246*$C246)/1000*D246</f>
        <v>0</v>
      </c>
      <c r="H246" s="325">
        <f t="shared" si="11"/>
        <v>0</v>
      </c>
      <c r="I246" s="325">
        <f t="shared" si="11"/>
        <v>0</v>
      </c>
      <c r="J246" s="175"/>
      <c r="L246" s="175"/>
    </row>
    <row r="247" spans="1:12" x14ac:dyDescent="0.2">
      <c r="A247" s="248" t="s">
        <v>379</v>
      </c>
      <c r="B247" s="329"/>
      <c r="C247" s="309">
        <v>40</v>
      </c>
      <c r="D247" s="310">
        <v>24</v>
      </c>
      <c r="E247" s="310">
        <v>6</v>
      </c>
      <c r="F247" s="310">
        <v>1.6</v>
      </c>
      <c r="G247" s="325">
        <f t="shared" si="11"/>
        <v>0</v>
      </c>
      <c r="H247" s="325">
        <f t="shared" si="11"/>
        <v>0</v>
      </c>
      <c r="I247" s="325">
        <f t="shared" si="11"/>
        <v>0</v>
      </c>
      <c r="J247" s="249"/>
      <c r="L247" s="250"/>
    </row>
    <row r="248" spans="1:12" x14ac:dyDescent="0.2">
      <c r="A248" s="248" t="s">
        <v>380</v>
      </c>
      <c r="B248" s="329"/>
      <c r="C248" s="309">
        <v>70</v>
      </c>
      <c r="D248" s="310">
        <v>28.5</v>
      </c>
      <c r="E248" s="310">
        <v>6</v>
      </c>
      <c r="F248" s="310">
        <v>1.6</v>
      </c>
      <c r="G248" s="325">
        <f>($B248*$C248)/1000*D248</f>
        <v>0</v>
      </c>
      <c r="H248" s="325">
        <f t="shared" si="11"/>
        <v>0</v>
      </c>
      <c r="I248" s="325">
        <f t="shared" si="11"/>
        <v>0</v>
      </c>
      <c r="J248" s="249"/>
      <c r="L248" s="250"/>
    </row>
    <row r="249" spans="1:12" x14ac:dyDescent="0.2">
      <c r="A249" s="248" t="s">
        <v>381</v>
      </c>
      <c r="B249" s="329"/>
      <c r="C249" s="326">
        <v>380</v>
      </c>
      <c r="D249" s="310">
        <v>24</v>
      </c>
      <c r="E249" s="310">
        <v>7</v>
      </c>
      <c r="F249" s="310">
        <v>4.0999999046325684</v>
      </c>
      <c r="G249" s="325">
        <f t="shared" si="11"/>
        <v>0</v>
      </c>
      <c r="H249" s="325">
        <f t="shared" si="11"/>
        <v>0</v>
      </c>
      <c r="I249" s="325">
        <f t="shared" si="11"/>
        <v>0</v>
      </c>
      <c r="J249" s="249"/>
      <c r="L249" s="250"/>
    </row>
    <row r="250" spans="1:12" x14ac:dyDescent="0.2">
      <c r="A250" s="248" t="s">
        <v>382</v>
      </c>
      <c r="B250" s="329"/>
      <c r="C250" s="309">
        <v>0.15</v>
      </c>
      <c r="D250" s="310">
        <v>30.5</v>
      </c>
      <c r="E250" s="310">
        <v>5.6999998092651367</v>
      </c>
      <c r="F250" s="310">
        <v>2.2999999523162842</v>
      </c>
      <c r="G250" s="325">
        <f t="shared" si="11"/>
        <v>0</v>
      </c>
      <c r="H250" s="325">
        <f t="shared" si="11"/>
        <v>0</v>
      </c>
      <c r="I250" s="325">
        <f t="shared" si="11"/>
        <v>0</v>
      </c>
      <c r="J250" s="249"/>
      <c r="L250" s="250"/>
    </row>
    <row r="251" spans="1:12" x14ac:dyDescent="0.2">
      <c r="A251" s="248" t="s">
        <v>383</v>
      </c>
      <c r="B251" s="329"/>
      <c r="C251" s="326">
        <v>700</v>
      </c>
      <c r="D251" s="310">
        <v>24</v>
      </c>
      <c r="E251" s="310">
        <v>7</v>
      </c>
      <c r="F251" s="310">
        <v>4.0999999046325684</v>
      </c>
      <c r="G251" s="325">
        <f t="shared" si="11"/>
        <v>0</v>
      </c>
      <c r="H251" s="325">
        <f t="shared" si="11"/>
        <v>0</v>
      </c>
      <c r="I251" s="325">
        <f t="shared" si="11"/>
        <v>0</v>
      </c>
      <c r="J251" s="249"/>
      <c r="L251" s="250"/>
    </row>
    <row r="252" spans="1:12" x14ac:dyDescent="0.2">
      <c r="A252" s="248" t="s">
        <v>384</v>
      </c>
      <c r="B252" s="329"/>
      <c r="C252" s="309">
        <v>100</v>
      </c>
      <c r="D252" s="310">
        <v>24</v>
      </c>
      <c r="E252" s="310">
        <v>4.4000000953674316</v>
      </c>
      <c r="F252" s="310">
        <v>4.0999999046325684</v>
      </c>
      <c r="G252" s="325">
        <f t="shared" si="11"/>
        <v>0</v>
      </c>
      <c r="H252" s="325">
        <f t="shared" si="11"/>
        <v>0</v>
      </c>
      <c r="I252" s="325">
        <f t="shared" si="11"/>
        <v>0</v>
      </c>
      <c r="J252" s="249"/>
      <c r="L252" s="250"/>
    </row>
    <row r="253" spans="1:12" x14ac:dyDescent="0.2">
      <c r="A253" s="248" t="s">
        <v>385</v>
      </c>
      <c r="B253" s="329"/>
      <c r="C253" s="309">
        <v>550</v>
      </c>
      <c r="D253" s="310">
        <v>24</v>
      </c>
      <c r="E253" s="310">
        <v>7</v>
      </c>
      <c r="F253" s="310">
        <v>4.0999999046325684</v>
      </c>
      <c r="G253" s="325">
        <f t="shared" si="11"/>
        <v>0</v>
      </c>
      <c r="H253" s="325">
        <f>($B253*$C253)/1000*E253</f>
        <v>0</v>
      </c>
      <c r="I253" s="325">
        <f t="shared" si="11"/>
        <v>0</v>
      </c>
      <c r="J253" s="249"/>
      <c r="L253" s="250"/>
    </row>
    <row r="254" spans="1:12" x14ac:dyDescent="0.2">
      <c r="A254" s="248" t="s">
        <v>386</v>
      </c>
      <c r="B254" s="329"/>
      <c r="C254" s="326">
        <v>1.2</v>
      </c>
      <c r="D254" s="310">
        <v>32</v>
      </c>
      <c r="E254" s="310">
        <v>2.2000000000000002</v>
      </c>
      <c r="F254" s="310">
        <v>3.6</v>
      </c>
      <c r="G254" s="325">
        <f t="shared" si="11"/>
        <v>0</v>
      </c>
      <c r="H254" s="325">
        <f t="shared" si="11"/>
        <v>0</v>
      </c>
      <c r="I254" s="325">
        <f t="shared" si="11"/>
        <v>0</v>
      </c>
      <c r="J254" s="249"/>
      <c r="L254" s="250"/>
    </row>
    <row r="255" spans="1:12" x14ac:dyDescent="0.2">
      <c r="A255" s="248" t="s">
        <v>387</v>
      </c>
      <c r="B255" s="329"/>
      <c r="C255" s="327">
        <v>7.5000002980232239E-2</v>
      </c>
      <c r="D255" s="310">
        <v>21.299999237060547</v>
      </c>
      <c r="E255" s="310">
        <v>2</v>
      </c>
      <c r="F255" s="310">
        <v>1.2</v>
      </c>
      <c r="G255" s="325">
        <f t="shared" si="11"/>
        <v>0</v>
      </c>
      <c r="H255" s="325">
        <f t="shared" si="11"/>
        <v>0</v>
      </c>
      <c r="I255" s="325">
        <f t="shared" si="11"/>
        <v>0</v>
      </c>
      <c r="J255" s="249"/>
      <c r="L255" s="250"/>
    </row>
    <row r="256" spans="1:12" x14ac:dyDescent="0.2">
      <c r="A256" s="248" t="s">
        <v>388</v>
      </c>
      <c r="B256" s="329"/>
      <c r="C256" s="327">
        <v>7.5000002980232239E-2</v>
      </c>
      <c r="D256" s="310">
        <v>21</v>
      </c>
      <c r="E256" s="310">
        <v>2</v>
      </c>
      <c r="F256" s="310">
        <v>1.2</v>
      </c>
      <c r="G256" s="325">
        <f t="shared" si="11"/>
        <v>0</v>
      </c>
      <c r="H256" s="325">
        <f t="shared" si="11"/>
        <v>0</v>
      </c>
      <c r="I256" s="325">
        <f t="shared" si="11"/>
        <v>0</v>
      </c>
      <c r="J256" s="249"/>
      <c r="L256" s="250"/>
    </row>
    <row r="257" spans="1:12" x14ac:dyDescent="0.2">
      <c r="A257" s="248" t="s">
        <v>389</v>
      </c>
      <c r="B257" s="329"/>
      <c r="C257" s="327">
        <v>5.9999998658895493E-2</v>
      </c>
      <c r="D257" s="310">
        <v>19.200000762939453</v>
      </c>
      <c r="E257" s="310">
        <v>2</v>
      </c>
      <c r="F257" s="310">
        <v>1.2</v>
      </c>
      <c r="G257" s="325">
        <f t="shared" si="11"/>
        <v>0</v>
      </c>
      <c r="H257" s="325">
        <f t="shared" si="11"/>
        <v>0</v>
      </c>
      <c r="I257" s="325">
        <f t="shared" si="11"/>
        <v>0</v>
      </c>
      <c r="J257" s="249"/>
      <c r="L257" s="250"/>
    </row>
    <row r="258" spans="1:12" x14ac:dyDescent="0.2">
      <c r="A258" s="248" t="s">
        <v>390</v>
      </c>
      <c r="B258" s="329"/>
      <c r="C258" s="327">
        <v>0.10000000149011612</v>
      </c>
      <c r="D258" s="310">
        <v>22.200000762939453</v>
      </c>
      <c r="E258" s="310">
        <v>2</v>
      </c>
      <c r="F258" s="310">
        <v>1.2</v>
      </c>
      <c r="G258" s="325">
        <f t="shared" si="11"/>
        <v>0</v>
      </c>
      <c r="H258" s="325">
        <f t="shared" si="11"/>
        <v>0</v>
      </c>
      <c r="I258" s="325">
        <f t="shared" si="11"/>
        <v>0</v>
      </c>
      <c r="J258" s="249"/>
      <c r="L258" s="250"/>
    </row>
    <row r="259" spans="1:12" x14ac:dyDescent="0.2">
      <c r="A259" s="248" t="s">
        <v>391</v>
      </c>
      <c r="B259" s="329"/>
      <c r="C259" s="309">
        <v>0.05</v>
      </c>
      <c r="D259" s="310">
        <v>37.599998474121094</v>
      </c>
      <c r="E259" s="310">
        <v>6.5</v>
      </c>
      <c r="F259" s="310">
        <v>2.5</v>
      </c>
      <c r="G259" s="325">
        <f t="shared" si="11"/>
        <v>0</v>
      </c>
      <c r="H259" s="325">
        <f t="shared" si="11"/>
        <v>0</v>
      </c>
      <c r="I259" s="325">
        <f t="shared" si="11"/>
        <v>0</v>
      </c>
      <c r="J259" s="249"/>
      <c r="L259" s="250"/>
    </row>
    <row r="260" spans="1:12" x14ac:dyDescent="0.2">
      <c r="A260" s="248" t="s">
        <v>392</v>
      </c>
      <c r="B260" s="329"/>
      <c r="C260" s="309">
        <v>15</v>
      </c>
      <c r="D260" s="310">
        <v>24</v>
      </c>
      <c r="E260" s="310">
        <v>4.4000000953674316</v>
      </c>
      <c r="F260" s="310">
        <v>4.0999999046325684</v>
      </c>
      <c r="G260" s="325">
        <f t="shared" si="11"/>
        <v>0</v>
      </c>
      <c r="H260" s="325">
        <f t="shared" si="11"/>
        <v>0</v>
      </c>
      <c r="I260" s="325">
        <f t="shared" si="11"/>
        <v>0</v>
      </c>
      <c r="J260" s="249"/>
      <c r="L260" s="250"/>
    </row>
    <row r="261" spans="1:12" x14ac:dyDescent="0.2">
      <c r="A261" s="248" t="s">
        <v>393</v>
      </c>
      <c r="B261" s="329"/>
      <c r="C261" s="309">
        <v>1.4</v>
      </c>
      <c r="D261" s="310">
        <v>32</v>
      </c>
      <c r="E261" s="310">
        <v>4.8000001907348633</v>
      </c>
      <c r="F261" s="310">
        <v>1.7999999523162842</v>
      </c>
      <c r="G261" s="325">
        <f t="shared" si="11"/>
        <v>0</v>
      </c>
      <c r="H261" s="325">
        <f>($B261*$C261)/1000*E261</f>
        <v>0</v>
      </c>
      <c r="I261" s="325">
        <f t="shared" si="11"/>
        <v>0</v>
      </c>
      <c r="J261" s="249"/>
      <c r="L261" s="250"/>
    </row>
    <row r="262" spans="1:12" x14ac:dyDescent="0.2">
      <c r="A262" s="248" t="s">
        <v>394</v>
      </c>
      <c r="B262" s="329"/>
      <c r="C262" s="310">
        <v>1.3999999761581421</v>
      </c>
      <c r="D262" s="310">
        <v>29.600000381469727</v>
      </c>
      <c r="E262" s="310">
        <v>4.8000001907348633</v>
      </c>
      <c r="F262" s="310">
        <v>1.7999999523162842</v>
      </c>
      <c r="G262" s="325">
        <f t="shared" si="11"/>
        <v>0</v>
      </c>
      <c r="H262" s="325">
        <f t="shared" si="11"/>
        <v>0</v>
      </c>
      <c r="I262" s="325">
        <f t="shared" si="11"/>
        <v>0</v>
      </c>
      <c r="J262" s="249"/>
      <c r="L262" s="250"/>
    </row>
    <row r="263" spans="1:12" x14ac:dyDescent="0.2">
      <c r="A263" s="248" t="s">
        <v>395</v>
      </c>
      <c r="B263" s="329"/>
      <c r="C263" s="327">
        <v>5.000000074505806E-2</v>
      </c>
      <c r="D263" s="310">
        <v>22.399999618530273</v>
      </c>
      <c r="E263" s="310">
        <v>3.5</v>
      </c>
      <c r="F263" s="310">
        <v>2</v>
      </c>
      <c r="G263" s="325">
        <f t="shared" si="11"/>
        <v>0</v>
      </c>
      <c r="H263" s="325">
        <f t="shared" si="11"/>
        <v>0</v>
      </c>
      <c r="I263" s="325">
        <f t="shared" si="11"/>
        <v>0</v>
      </c>
      <c r="J263" s="249"/>
      <c r="L263" s="250"/>
    </row>
    <row r="264" spans="1:12" x14ac:dyDescent="0.2">
      <c r="A264" s="248" t="s">
        <v>396</v>
      </c>
      <c r="B264" s="329"/>
      <c r="C264" s="309">
        <v>400</v>
      </c>
      <c r="D264" s="310">
        <v>24</v>
      </c>
      <c r="E264" s="310">
        <v>7</v>
      </c>
      <c r="F264" s="310">
        <v>4.0999999046325684</v>
      </c>
      <c r="G264" s="325">
        <f t="shared" si="11"/>
        <v>0</v>
      </c>
      <c r="H264" s="325">
        <f t="shared" si="11"/>
        <v>0</v>
      </c>
      <c r="I264" s="325">
        <f t="shared" si="11"/>
        <v>0</v>
      </c>
      <c r="J264" s="249"/>
      <c r="L264" s="250"/>
    </row>
    <row r="265" spans="1:12" x14ac:dyDescent="0.2">
      <c r="A265" s="248" t="s">
        <v>397</v>
      </c>
      <c r="B265" s="329"/>
      <c r="C265" s="309">
        <v>660</v>
      </c>
      <c r="D265" s="310">
        <v>24</v>
      </c>
      <c r="E265" s="310">
        <v>7</v>
      </c>
      <c r="F265" s="310">
        <v>4.0999999046325684</v>
      </c>
      <c r="G265" s="325">
        <f t="shared" si="11"/>
        <v>0</v>
      </c>
      <c r="H265" s="325">
        <f t="shared" si="11"/>
        <v>0</v>
      </c>
      <c r="I265" s="325">
        <f t="shared" si="11"/>
        <v>0</v>
      </c>
      <c r="J265" s="249"/>
      <c r="L265" s="250"/>
    </row>
    <row r="266" spans="1:12" x14ac:dyDescent="0.2">
      <c r="A266" s="248" t="s">
        <v>398</v>
      </c>
      <c r="B266" s="329"/>
      <c r="C266" s="309">
        <v>50</v>
      </c>
      <c r="D266" s="310">
        <v>24</v>
      </c>
      <c r="E266" s="310">
        <v>7</v>
      </c>
      <c r="F266" s="310">
        <v>4.0999999046325684</v>
      </c>
      <c r="G266" s="325">
        <f t="shared" si="11"/>
        <v>0</v>
      </c>
      <c r="H266" s="325">
        <f t="shared" si="11"/>
        <v>0</v>
      </c>
      <c r="I266" s="325">
        <f t="shared" si="11"/>
        <v>0</v>
      </c>
      <c r="J266" s="249"/>
      <c r="L266" s="250"/>
    </row>
    <row r="267" spans="1:12" x14ac:dyDescent="0.2">
      <c r="A267" s="248" t="s">
        <v>399</v>
      </c>
      <c r="B267" s="329"/>
      <c r="C267" s="309">
        <v>120</v>
      </c>
      <c r="D267" s="310">
        <v>24</v>
      </c>
      <c r="E267" s="310">
        <v>4.4000000000000004</v>
      </c>
      <c r="F267" s="310">
        <v>4.0999999999999996</v>
      </c>
      <c r="G267" s="325">
        <f t="shared" si="11"/>
        <v>0</v>
      </c>
      <c r="H267" s="325">
        <f t="shared" si="11"/>
        <v>0</v>
      </c>
      <c r="I267" s="325">
        <f>($B267*$C267)/1000*F267</f>
        <v>0</v>
      </c>
      <c r="J267" s="249"/>
      <c r="L267" s="250"/>
    </row>
    <row r="268" spans="1:12" x14ac:dyDescent="0.2">
      <c r="A268" s="251" t="s">
        <v>197</v>
      </c>
      <c r="B268" s="329"/>
      <c r="C268" s="329"/>
      <c r="D268" s="329"/>
      <c r="E268" s="329"/>
      <c r="F268" s="329"/>
      <c r="G268" s="325">
        <f>($B268*$C268)/1000*D268</f>
        <v>0</v>
      </c>
      <c r="H268" s="325">
        <f>($B268*$C268)/1000*E268</f>
        <v>0</v>
      </c>
      <c r="I268" s="325">
        <f>($B268*$C268)/1000*F268</f>
        <v>0</v>
      </c>
      <c r="J268" s="249"/>
      <c r="L268" s="250"/>
    </row>
    <row r="269" spans="1:12" ht="13.5" thickBot="1" x14ac:dyDescent="0.25">
      <c r="A269" s="251" t="s">
        <v>197</v>
      </c>
      <c r="B269" s="329"/>
      <c r="C269" s="329"/>
      <c r="D269" s="329"/>
      <c r="E269" s="329"/>
      <c r="F269" s="329"/>
      <c r="G269" s="328">
        <f t="shared" si="11"/>
        <v>0</v>
      </c>
      <c r="H269" s="328">
        <f t="shared" si="11"/>
        <v>0</v>
      </c>
      <c r="I269" s="328">
        <f t="shared" si="11"/>
        <v>0</v>
      </c>
      <c r="J269" s="249"/>
      <c r="L269" s="250"/>
    </row>
    <row r="270" spans="1:12" ht="13.5" thickBot="1" x14ac:dyDescent="0.25">
      <c r="A270" s="175"/>
      <c r="B270" s="175"/>
      <c r="C270" s="175"/>
      <c r="D270" s="175"/>
      <c r="E270" s="314" t="s">
        <v>369</v>
      </c>
      <c r="F270" s="307" t="s">
        <v>199</v>
      </c>
      <c r="G270" s="315">
        <f>SUM(G246:G269)</f>
        <v>0</v>
      </c>
      <c r="H270" s="315">
        <f>SUM(H246:H269)</f>
        <v>0</v>
      </c>
      <c r="I270" s="315">
        <f>SUM(I246:I269)</f>
        <v>0</v>
      </c>
      <c r="J270" s="175"/>
      <c r="K270" s="175"/>
      <c r="L270" s="175"/>
    </row>
    <row r="271" spans="1:12" x14ac:dyDescent="0.2">
      <c r="A271" s="175"/>
      <c r="B271" s="175"/>
      <c r="C271" s="175"/>
      <c r="D271" s="175"/>
      <c r="E271" s="175"/>
      <c r="F271" s="175"/>
      <c r="G271" s="175"/>
      <c r="H271" s="175"/>
      <c r="I271" s="175"/>
      <c r="J271" s="175"/>
      <c r="K271" s="175"/>
      <c r="L271" s="175"/>
    </row>
    <row r="272" spans="1:12" x14ac:dyDescent="0.2">
      <c r="A272" s="175"/>
      <c r="B272" s="175"/>
      <c r="C272" s="175"/>
      <c r="D272" s="175"/>
      <c r="E272" s="175"/>
      <c r="F272" s="175"/>
      <c r="G272" s="175"/>
      <c r="H272" s="175"/>
      <c r="I272" s="175"/>
      <c r="J272" s="175"/>
      <c r="K272" s="175"/>
      <c r="L272" s="175"/>
    </row>
    <row r="273" spans="1:12" x14ac:dyDescent="0.2">
      <c r="A273" s="175"/>
      <c r="B273" s="175"/>
      <c r="C273" s="175"/>
      <c r="D273" s="175"/>
      <c r="E273" s="175"/>
      <c r="F273" s="175"/>
      <c r="G273" s="175"/>
      <c r="H273" s="175"/>
      <c r="I273" s="175"/>
      <c r="J273" s="175"/>
      <c r="K273" s="175"/>
      <c r="L273" s="175"/>
    </row>
    <row r="274" spans="1:12" x14ac:dyDescent="0.2">
      <c r="A274" s="175"/>
      <c r="B274" s="175"/>
      <c r="C274" s="175"/>
      <c r="D274" s="175"/>
      <c r="E274" s="175"/>
      <c r="F274" s="175"/>
      <c r="G274" s="175"/>
      <c r="H274" s="175"/>
      <c r="I274" s="175"/>
      <c r="J274" s="175"/>
      <c r="K274" s="175"/>
      <c r="L274" s="175"/>
    </row>
    <row r="275" spans="1:12" ht="20.25" customHeight="1" x14ac:dyDescent="0.2">
      <c r="A275" s="516" t="s">
        <v>400</v>
      </c>
      <c r="B275" s="516"/>
      <c r="C275" s="516"/>
      <c r="D275" s="516"/>
      <c r="E275" s="516"/>
      <c r="F275" s="516"/>
      <c r="G275" s="516"/>
      <c r="H275" s="516"/>
      <c r="I275" s="175"/>
      <c r="K275" s="175"/>
      <c r="L275" s="182"/>
    </row>
    <row r="276" spans="1:12" ht="20.25" x14ac:dyDescent="0.2">
      <c r="A276" s="242"/>
      <c r="B276" s="243"/>
      <c r="C276" s="243"/>
      <c r="D276" s="243"/>
      <c r="E276" s="243"/>
      <c r="F276" s="243"/>
      <c r="G276" s="243"/>
      <c r="H276" s="243"/>
      <c r="I276" s="244"/>
      <c r="J276" s="177"/>
      <c r="K276" s="177"/>
      <c r="L276" s="177"/>
    </row>
    <row r="277" spans="1:12" x14ac:dyDescent="0.2">
      <c r="A277" s="175"/>
      <c r="B277" s="175"/>
      <c r="C277" s="175"/>
      <c r="D277" s="175"/>
      <c r="E277" s="175"/>
      <c r="F277" s="175"/>
      <c r="G277" s="175"/>
      <c r="H277" s="175"/>
      <c r="I277" s="175"/>
      <c r="J277" s="175"/>
      <c r="K277" s="175"/>
      <c r="L277" s="175"/>
    </row>
    <row r="278" spans="1:12" ht="38.25" x14ac:dyDescent="0.2">
      <c r="A278" s="252" t="s">
        <v>401</v>
      </c>
      <c r="B278" s="253" t="s">
        <v>402</v>
      </c>
      <c r="C278" s="237" t="s">
        <v>167</v>
      </c>
      <c r="D278" s="237" t="s">
        <v>168</v>
      </c>
      <c r="E278" s="237" t="s">
        <v>169</v>
      </c>
      <c r="F278" s="209" t="s">
        <v>167</v>
      </c>
      <c r="G278" s="209" t="s">
        <v>168</v>
      </c>
      <c r="H278" s="209" t="s">
        <v>169</v>
      </c>
      <c r="I278" s="175"/>
      <c r="K278" s="175"/>
      <c r="L278" s="175"/>
    </row>
    <row r="279" spans="1:12" ht="38.25" x14ac:dyDescent="0.2">
      <c r="A279" s="254"/>
      <c r="B279" s="188" t="s">
        <v>403</v>
      </c>
      <c r="C279" s="255" t="s">
        <v>207</v>
      </c>
      <c r="D279" s="255" t="s">
        <v>208</v>
      </c>
      <c r="E279" s="255" t="s">
        <v>209</v>
      </c>
      <c r="F279" s="188" t="s">
        <v>172</v>
      </c>
      <c r="G279" s="188" t="s">
        <v>172</v>
      </c>
      <c r="H279" s="188" t="s">
        <v>172</v>
      </c>
      <c r="I279" s="175"/>
      <c r="K279" s="175"/>
      <c r="L279" s="175"/>
    </row>
    <row r="280" spans="1:12" x14ac:dyDescent="0.2">
      <c r="A280" s="256" t="s">
        <v>404</v>
      </c>
      <c r="B280" s="257"/>
      <c r="C280" s="258"/>
      <c r="D280" s="258"/>
      <c r="E280" s="258"/>
      <c r="F280" s="206"/>
      <c r="G280" s="259"/>
      <c r="H280" s="175"/>
      <c r="I280" s="175"/>
      <c r="K280" s="175"/>
      <c r="L280" s="175"/>
    </row>
    <row r="281" spans="1:12" ht="25.5" x14ac:dyDescent="0.2">
      <c r="A281" s="191" t="s">
        <v>212</v>
      </c>
      <c r="B281" s="95"/>
      <c r="C281" s="304">
        <v>5.5</v>
      </c>
      <c r="D281" s="304">
        <v>8.4</v>
      </c>
      <c r="E281" s="304">
        <v>8.1</v>
      </c>
      <c r="F281" s="210">
        <f t="shared" ref="F281:H312" si="12">($B281)*C281</f>
        <v>0</v>
      </c>
      <c r="G281" s="210">
        <f t="shared" si="12"/>
        <v>0</v>
      </c>
      <c r="H281" s="210">
        <f>($B281)*E281</f>
        <v>0</v>
      </c>
      <c r="I281" s="193"/>
      <c r="K281" s="193"/>
      <c r="L281" s="260"/>
    </row>
    <row r="282" spans="1:12" ht="25.5" x14ac:dyDescent="0.2">
      <c r="A282" s="191" t="s">
        <v>213</v>
      </c>
      <c r="B282" s="95"/>
      <c r="C282" s="304">
        <v>18</v>
      </c>
      <c r="D282" s="304">
        <v>10</v>
      </c>
      <c r="E282" s="304">
        <v>18</v>
      </c>
      <c r="F282" s="210">
        <f t="shared" si="12"/>
        <v>0</v>
      </c>
      <c r="G282" s="210">
        <f t="shared" si="12"/>
        <v>0</v>
      </c>
      <c r="H282" s="210">
        <f t="shared" si="12"/>
        <v>0</v>
      </c>
      <c r="I282" s="193"/>
      <c r="K282" s="193"/>
      <c r="L282" s="260"/>
    </row>
    <row r="283" spans="1:12" x14ac:dyDescent="0.2">
      <c r="A283" s="191" t="s">
        <v>214</v>
      </c>
      <c r="B283" s="95"/>
      <c r="C283" s="304">
        <v>8</v>
      </c>
      <c r="D283" s="304">
        <v>3</v>
      </c>
      <c r="E283" s="304">
        <v>5</v>
      </c>
      <c r="F283" s="210">
        <f t="shared" si="12"/>
        <v>0</v>
      </c>
      <c r="G283" s="210">
        <f t="shared" si="12"/>
        <v>0</v>
      </c>
      <c r="H283" s="210">
        <f t="shared" si="12"/>
        <v>0</v>
      </c>
      <c r="I283" s="193"/>
      <c r="K283" s="193"/>
      <c r="L283" s="260"/>
    </row>
    <row r="284" spans="1:12" ht="25.5" x14ac:dyDescent="0.2">
      <c r="A284" s="191" t="s">
        <v>215</v>
      </c>
      <c r="B284" s="95"/>
      <c r="C284" s="304">
        <v>20</v>
      </c>
      <c r="D284" s="304">
        <v>25</v>
      </c>
      <c r="E284" s="304">
        <v>15</v>
      </c>
      <c r="F284" s="210">
        <f t="shared" si="12"/>
        <v>0</v>
      </c>
      <c r="G284" s="210">
        <f t="shared" si="12"/>
        <v>0</v>
      </c>
      <c r="H284" s="210">
        <f t="shared" si="12"/>
        <v>0</v>
      </c>
      <c r="I284" s="193"/>
      <c r="K284" s="193"/>
      <c r="L284" s="260"/>
    </row>
    <row r="285" spans="1:12" ht="25.5" x14ac:dyDescent="0.2">
      <c r="A285" s="191" t="s">
        <v>216</v>
      </c>
      <c r="B285" s="95"/>
      <c r="C285" s="304">
        <v>15</v>
      </c>
      <c r="D285" s="304">
        <v>22</v>
      </c>
      <c r="E285" s="304">
        <v>19</v>
      </c>
      <c r="F285" s="210">
        <f t="shared" si="12"/>
        <v>0</v>
      </c>
      <c r="G285" s="210">
        <f t="shared" si="12"/>
        <v>0</v>
      </c>
      <c r="H285" s="210">
        <f t="shared" si="12"/>
        <v>0</v>
      </c>
      <c r="I285" s="193"/>
      <c r="K285" s="193"/>
      <c r="L285" s="260"/>
    </row>
    <row r="286" spans="1:12" ht="25.5" x14ac:dyDescent="0.2">
      <c r="A286" s="191" t="s">
        <v>217</v>
      </c>
      <c r="B286" s="95"/>
      <c r="C286" s="304">
        <v>10</v>
      </c>
      <c r="D286" s="304">
        <v>6.5</v>
      </c>
      <c r="E286" s="304">
        <v>9</v>
      </c>
      <c r="F286" s="210">
        <f t="shared" si="12"/>
        <v>0</v>
      </c>
      <c r="G286" s="210">
        <f t="shared" si="12"/>
        <v>0</v>
      </c>
      <c r="H286" s="210">
        <f t="shared" si="12"/>
        <v>0</v>
      </c>
      <c r="I286" s="193"/>
      <c r="K286" s="193"/>
      <c r="L286" s="260"/>
    </row>
    <row r="287" spans="1:12" ht="25.5" x14ac:dyDescent="0.2">
      <c r="A287" s="191" t="s">
        <v>218</v>
      </c>
      <c r="B287" s="95"/>
      <c r="C287" s="304">
        <v>6.5</v>
      </c>
      <c r="D287" s="304">
        <v>4</v>
      </c>
      <c r="E287" s="304">
        <v>9</v>
      </c>
      <c r="F287" s="210">
        <f t="shared" si="12"/>
        <v>0</v>
      </c>
      <c r="G287" s="210">
        <f t="shared" si="12"/>
        <v>0</v>
      </c>
      <c r="H287" s="210">
        <f t="shared" si="12"/>
        <v>0</v>
      </c>
      <c r="I287" s="193"/>
      <c r="K287" s="193"/>
      <c r="L287" s="260"/>
    </row>
    <row r="288" spans="1:12" ht="25.5" x14ac:dyDescent="0.2">
      <c r="A288" s="191" t="s">
        <v>219</v>
      </c>
      <c r="B288" s="95"/>
      <c r="C288" s="304">
        <v>10</v>
      </c>
      <c r="D288" s="304">
        <v>14</v>
      </c>
      <c r="E288" s="304">
        <v>20</v>
      </c>
      <c r="F288" s="210">
        <f t="shared" si="12"/>
        <v>0</v>
      </c>
      <c r="G288" s="210">
        <f t="shared" si="12"/>
        <v>0</v>
      </c>
      <c r="H288" s="210">
        <f t="shared" si="12"/>
        <v>0</v>
      </c>
      <c r="I288" s="193"/>
      <c r="K288" s="193"/>
      <c r="L288" s="260"/>
    </row>
    <row r="289" spans="1:12" ht="25.5" x14ac:dyDescent="0.2">
      <c r="A289" s="191" t="s">
        <v>220</v>
      </c>
      <c r="B289" s="95"/>
      <c r="C289" s="304">
        <v>13</v>
      </c>
      <c r="D289" s="304">
        <v>22</v>
      </c>
      <c r="E289" s="304">
        <v>20</v>
      </c>
      <c r="F289" s="210">
        <f t="shared" si="12"/>
        <v>0</v>
      </c>
      <c r="G289" s="210">
        <f t="shared" si="12"/>
        <v>0</v>
      </c>
      <c r="H289" s="210">
        <f t="shared" si="12"/>
        <v>0</v>
      </c>
      <c r="I289" s="193"/>
      <c r="K289" s="193"/>
      <c r="L289" s="260"/>
    </row>
    <row r="290" spans="1:12" x14ac:dyDescent="0.2">
      <c r="A290" s="191" t="s">
        <v>221</v>
      </c>
      <c r="B290" s="95"/>
      <c r="C290" s="304">
        <v>20</v>
      </c>
      <c r="D290" s="304">
        <v>24</v>
      </c>
      <c r="E290" s="304">
        <v>19</v>
      </c>
      <c r="F290" s="210">
        <f t="shared" si="12"/>
        <v>0</v>
      </c>
      <c r="G290" s="210">
        <f t="shared" si="12"/>
        <v>0</v>
      </c>
      <c r="H290" s="210">
        <f t="shared" si="12"/>
        <v>0</v>
      </c>
      <c r="I290" s="193"/>
      <c r="K290" s="193"/>
      <c r="L290" s="260"/>
    </row>
    <row r="291" spans="1:12" ht="38.25" x14ac:dyDescent="0.2">
      <c r="A291" s="191" t="s">
        <v>222</v>
      </c>
      <c r="B291" s="95"/>
      <c r="C291" s="304">
        <v>15</v>
      </c>
      <c r="D291" s="304">
        <v>8</v>
      </c>
      <c r="E291" s="304">
        <v>15</v>
      </c>
      <c r="F291" s="210">
        <f t="shared" si="12"/>
        <v>0</v>
      </c>
      <c r="G291" s="210">
        <f t="shared" si="12"/>
        <v>0</v>
      </c>
      <c r="H291" s="210">
        <f t="shared" si="12"/>
        <v>0</v>
      </c>
      <c r="I291" s="193"/>
      <c r="K291" s="193"/>
      <c r="L291" s="260"/>
    </row>
    <row r="292" spans="1:12" ht="25.5" x14ac:dyDescent="0.2">
      <c r="A292" s="191" t="s">
        <v>223</v>
      </c>
      <c r="B292" s="95"/>
      <c r="C292" s="305">
        <v>0.40000000596046448</v>
      </c>
      <c r="D292" s="305">
        <v>0.20000000298023224</v>
      </c>
      <c r="E292" s="304">
        <v>0.5</v>
      </c>
      <c r="F292" s="210">
        <f t="shared" si="12"/>
        <v>0</v>
      </c>
      <c r="G292" s="210">
        <f t="shared" si="12"/>
        <v>0</v>
      </c>
      <c r="H292" s="210">
        <f t="shared" si="12"/>
        <v>0</v>
      </c>
      <c r="I292" s="193"/>
      <c r="K292" s="193"/>
      <c r="L292" s="260"/>
    </row>
    <row r="293" spans="1:12" ht="25.5" x14ac:dyDescent="0.2">
      <c r="A293" s="194" t="s">
        <v>224</v>
      </c>
      <c r="B293" s="95"/>
      <c r="C293" s="304">
        <v>15</v>
      </c>
      <c r="D293" s="304">
        <v>14</v>
      </c>
      <c r="E293" s="304">
        <v>12</v>
      </c>
      <c r="F293" s="210">
        <f t="shared" si="12"/>
        <v>0</v>
      </c>
      <c r="G293" s="210">
        <f t="shared" si="12"/>
        <v>0</v>
      </c>
      <c r="H293" s="210">
        <f t="shared" si="12"/>
        <v>0</v>
      </c>
      <c r="I293" s="193"/>
      <c r="K293" s="193"/>
      <c r="L293" s="260"/>
    </row>
    <row r="294" spans="1:12" ht="25.5" x14ac:dyDescent="0.2">
      <c r="A294" s="194" t="s">
        <v>225</v>
      </c>
      <c r="B294" s="95"/>
      <c r="C294" s="304">
        <v>30</v>
      </c>
      <c r="D294" s="304">
        <v>36</v>
      </c>
      <c r="E294" s="304">
        <v>24</v>
      </c>
      <c r="F294" s="210">
        <f t="shared" si="12"/>
        <v>0</v>
      </c>
      <c r="G294" s="210">
        <f t="shared" si="12"/>
        <v>0</v>
      </c>
      <c r="H294" s="210">
        <f t="shared" si="12"/>
        <v>0</v>
      </c>
      <c r="I294" s="193"/>
      <c r="K294" s="193"/>
      <c r="L294" s="260"/>
    </row>
    <row r="295" spans="1:12" ht="25.5" x14ac:dyDescent="0.2">
      <c r="A295" s="194" t="s">
        <v>226</v>
      </c>
      <c r="B295" s="95"/>
      <c r="C295" s="304">
        <v>40</v>
      </c>
      <c r="D295" s="304">
        <v>38</v>
      </c>
      <c r="E295" s="304">
        <v>25</v>
      </c>
      <c r="F295" s="210">
        <f t="shared" si="12"/>
        <v>0</v>
      </c>
      <c r="G295" s="210">
        <f t="shared" si="12"/>
        <v>0</v>
      </c>
      <c r="H295" s="210">
        <f t="shared" si="12"/>
        <v>0</v>
      </c>
      <c r="I295" s="193"/>
      <c r="K295" s="193"/>
      <c r="L295" s="260"/>
    </row>
    <row r="296" spans="1:12" ht="38.25" x14ac:dyDescent="0.2">
      <c r="A296" s="194" t="s">
        <v>227</v>
      </c>
      <c r="B296" s="95"/>
      <c r="C296" s="305">
        <v>4.1999998092651367</v>
      </c>
      <c r="D296" s="304">
        <v>2</v>
      </c>
      <c r="E296" s="304">
        <v>4</v>
      </c>
      <c r="F296" s="210">
        <f t="shared" si="12"/>
        <v>0</v>
      </c>
      <c r="G296" s="210">
        <f t="shared" si="12"/>
        <v>0</v>
      </c>
      <c r="H296" s="210">
        <f t="shared" si="12"/>
        <v>0</v>
      </c>
      <c r="I296" s="193"/>
      <c r="K296" s="193"/>
      <c r="L296" s="260"/>
    </row>
    <row r="297" spans="1:12" x14ac:dyDescent="0.2">
      <c r="A297" s="194" t="s">
        <v>228</v>
      </c>
      <c r="B297" s="95"/>
      <c r="C297" s="304">
        <v>5</v>
      </c>
      <c r="D297" s="304">
        <v>3</v>
      </c>
      <c r="E297" s="304">
        <v>4</v>
      </c>
      <c r="F297" s="210">
        <f t="shared" si="12"/>
        <v>0</v>
      </c>
      <c r="G297" s="210">
        <f t="shared" si="12"/>
        <v>0</v>
      </c>
      <c r="H297" s="210">
        <f t="shared" si="12"/>
        <v>0</v>
      </c>
      <c r="I297" s="193"/>
      <c r="K297" s="193"/>
      <c r="L297" s="260"/>
    </row>
    <row r="298" spans="1:12" x14ac:dyDescent="0.2">
      <c r="A298" s="194" t="s">
        <v>229</v>
      </c>
      <c r="B298" s="95"/>
      <c r="C298" s="304">
        <v>4.5</v>
      </c>
      <c r="D298" s="304">
        <v>5</v>
      </c>
      <c r="E298" s="304">
        <v>3</v>
      </c>
      <c r="F298" s="210">
        <f t="shared" si="12"/>
        <v>0</v>
      </c>
      <c r="G298" s="210">
        <f t="shared" si="12"/>
        <v>0</v>
      </c>
      <c r="H298" s="210">
        <f t="shared" si="12"/>
        <v>0</v>
      </c>
      <c r="I298" s="193"/>
      <c r="K298" s="193"/>
      <c r="L298" s="260"/>
    </row>
    <row r="299" spans="1:12" x14ac:dyDescent="0.2">
      <c r="A299" s="194" t="s">
        <v>230</v>
      </c>
      <c r="B299" s="95"/>
      <c r="C299" s="304">
        <v>6</v>
      </c>
      <c r="D299" s="304">
        <v>3</v>
      </c>
      <c r="E299" s="304">
        <v>10</v>
      </c>
      <c r="F299" s="210">
        <f t="shared" si="12"/>
        <v>0</v>
      </c>
      <c r="G299" s="210">
        <f t="shared" si="12"/>
        <v>0</v>
      </c>
      <c r="H299" s="210">
        <f t="shared" si="12"/>
        <v>0</v>
      </c>
      <c r="I299" s="193"/>
      <c r="K299" s="193"/>
      <c r="L299" s="260"/>
    </row>
    <row r="300" spans="1:12" ht="25.5" x14ac:dyDescent="0.2">
      <c r="A300" s="194" t="s">
        <v>231</v>
      </c>
      <c r="B300" s="95"/>
      <c r="C300" s="304">
        <v>13</v>
      </c>
      <c r="D300" s="304">
        <v>24</v>
      </c>
      <c r="E300" s="304">
        <v>18</v>
      </c>
      <c r="F300" s="210">
        <f t="shared" si="12"/>
        <v>0</v>
      </c>
      <c r="G300" s="210">
        <f t="shared" si="12"/>
        <v>0</v>
      </c>
      <c r="H300" s="210">
        <f t="shared" si="12"/>
        <v>0</v>
      </c>
      <c r="I300" s="193"/>
      <c r="K300" s="193"/>
      <c r="L300" s="260"/>
    </row>
    <row r="301" spans="1:12" ht="25.5" x14ac:dyDescent="0.2">
      <c r="A301" s="194" t="s">
        <v>232</v>
      </c>
      <c r="B301" s="95"/>
      <c r="C301" s="304">
        <v>11</v>
      </c>
      <c r="D301" s="304">
        <v>18</v>
      </c>
      <c r="E301" s="304">
        <v>13</v>
      </c>
      <c r="F301" s="210">
        <f t="shared" si="12"/>
        <v>0</v>
      </c>
      <c r="G301" s="210">
        <f t="shared" si="12"/>
        <v>0</v>
      </c>
      <c r="H301" s="210">
        <f t="shared" si="12"/>
        <v>0</v>
      </c>
      <c r="I301" s="193"/>
      <c r="K301" s="193"/>
      <c r="L301" s="260"/>
    </row>
    <row r="302" spans="1:12" x14ac:dyDescent="0.2">
      <c r="A302" s="194" t="s">
        <v>233</v>
      </c>
      <c r="B302" s="95"/>
      <c r="C302" s="304">
        <v>8</v>
      </c>
      <c r="D302" s="304">
        <v>12.5</v>
      </c>
      <c r="E302" s="304">
        <v>7.1</v>
      </c>
      <c r="F302" s="210">
        <f t="shared" si="12"/>
        <v>0</v>
      </c>
      <c r="G302" s="210">
        <f t="shared" si="12"/>
        <v>0</v>
      </c>
      <c r="H302" s="210">
        <f t="shared" si="12"/>
        <v>0</v>
      </c>
      <c r="I302" s="193"/>
      <c r="K302" s="193"/>
      <c r="L302" s="260"/>
    </row>
    <row r="303" spans="1:12" ht="25.5" x14ac:dyDescent="0.2">
      <c r="A303" s="191" t="s">
        <v>234</v>
      </c>
      <c r="B303" s="95"/>
      <c r="C303" s="304">
        <v>24</v>
      </c>
      <c r="D303" s="304">
        <v>23</v>
      </c>
      <c r="E303" s="304">
        <v>18</v>
      </c>
      <c r="F303" s="210">
        <f t="shared" si="12"/>
        <v>0</v>
      </c>
      <c r="G303" s="210">
        <f t="shared" si="12"/>
        <v>0</v>
      </c>
      <c r="H303" s="210">
        <f t="shared" si="12"/>
        <v>0</v>
      </c>
      <c r="I303" s="193"/>
      <c r="K303" s="193"/>
      <c r="L303" s="260"/>
    </row>
    <row r="304" spans="1:12" ht="25.5" x14ac:dyDescent="0.2">
      <c r="A304" s="191" t="s">
        <v>235</v>
      </c>
      <c r="B304" s="95"/>
      <c r="C304" s="304">
        <v>32</v>
      </c>
      <c r="D304" s="304">
        <v>25</v>
      </c>
      <c r="E304" s="304">
        <v>20</v>
      </c>
      <c r="F304" s="210">
        <f t="shared" si="12"/>
        <v>0</v>
      </c>
      <c r="G304" s="210">
        <f t="shared" si="12"/>
        <v>0</v>
      </c>
      <c r="H304" s="210">
        <f t="shared" si="12"/>
        <v>0</v>
      </c>
      <c r="I304" s="193"/>
      <c r="K304" s="193"/>
      <c r="L304" s="260"/>
    </row>
    <row r="305" spans="1:12" ht="38.25" x14ac:dyDescent="0.2">
      <c r="A305" s="194" t="s">
        <v>405</v>
      </c>
      <c r="B305" s="95"/>
      <c r="C305" s="304">
        <v>8</v>
      </c>
      <c r="D305" s="304">
        <v>7.5</v>
      </c>
      <c r="E305" s="304">
        <v>12.5</v>
      </c>
      <c r="F305" s="210">
        <f t="shared" si="12"/>
        <v>0</v>
      </c>
      <c r="G305" s="210">
        <f t="shared" si="12"/>
        <v>0</v>
      </c>
      <c r="H305" s="210">
        <f t="shared" si="12"/>
        <v>0</v>
      </c>
      <c r="I305" s="193"/>
      <c r="K305" s="193"/>
      <c r="L305" s="260"/>
    </row>
    <row r="306" spans="1:12" ht="25.5" x14ac:dyDescent="0.2">
      <c r="A306" s="194" t="s">
        <v>237</v>
      </c>
      <c r="B306" s="95"/>
      <c r="C306" s="304">
        <v>7</v>
      </c>
      <c r="D306" s="304">
        <v>10</v>
      </c>
      <c r="E306" s="304">
        <v>9</v>
      </c>
      <c r="F306" s="210">
        <f t="shared" si="12"/>
        <v>0</v>
      </c>
      <c r="G306" s="210">
        <f t="shared" si="12"/>
        <v>0</v>
      </c>
      <c r="H306" s="210">
        <f t="shared" si="12"/>
        <v>0</v>
      </c>
      <c r="I306" s="193"/>
      <c r="K306" s="193"/>
      <c r="L306" s="260"/>
    </row>
    <row r="307" spans="1:12" ht="25.5" x14ac:dyDescent="0.2">
      <c r="A307" s="194" t="s">
        <v>238</v>
      </c>
      <c r="B307" s="95"/>
      <c r="C307" s="304">
        <v>4</v>
      </c>
      <c r="D307" s="304">
        <v>2</v>
      </c>
      <c r="E307" s="304">
        <v>4</v>
      </c>
      <c r="F307" s="210">
        <f t="shared" si="12"/>
        <v>0</v>
      </c>
      <c r="G307" s="210">
        <f t="shared" si="12"/>
        <v>0</v>
      </c>
      <c r="H307" s="210">
        <f t="shared" si="12"/>
        <v>0</v>
      </c>
      <c r="I307" s="193"/>
      <c r="K307" s="193"/>
      <c r="L307" s="260"/>
    </row>
    <row r="308" spans="1:12" ht="25.5" x14ac:dyDescent="0.2">
      <c r="A308" s="191" t="s">
        <v>239</v>
      </c>
      <c r="B308" s="95"/>
      <c r="C308" s="304">
        <v>18</v>
      </c>
      <c r="D308" s="304">
        <v>30</v>
      </c>
      <c r="E308" s="304">
        <v>21</v>
      </c>
      <c r="F308" s="210">
        <f t="shared" si="12"/>
        <v>0</v>
      </c>
      <c r="G308" s="210">
        <f t="shared" si="12"/>
        <v>0</v>
      </c>
      <c r="H308" s="210">
        <f t="shared" si="12"/>
        <v>0</v>
      </c>
      <c r="I308" s="193"/>
      <c r="K308" s="193"/>
      <c r="L308" s="260"/>
    </row>
    <row r="309" spans="1:12" ht="25.5" x14ac:dyDescent="0.2">
      <c r="A309" s="191" t="s">
        <v>240</v>
      </c>
      <c r="B309" s="95"/>
      <c r="C309" s="304">
        <v>22</v>
      </c>
      <c r="D309" s="304">
        <v>40</v>
      </c>
      <c r="E309" s="304">
        <v>25</v>
      </c>
      <c r="F309" s="210">
        <f t="shared" si="12"/>
        <v>0</v>
      </c>
      <c r="G309" s="210">
        <f t="shared" si="12"/>
        <v>0</v>
      </c>
      <c r="H309" s="210">
        <f t="shared" si="12"/>
        <v>0</v>
      </c>
      <c r="I309" s="193"/>
      <c r="K309" s="193"/>
      <c r="L309" s="260"/>
    </row>
    <row r="310" spans="1:12" ht="25.5" x14ac:dyDescent="0.2">
      <c r="A310" s="194" t="s">
        <v>241</v>
      </c>
      <c r="B310" s="95"/>
      <c r="C310" s="304">
        <v>22</v>
      </c>
      <c r="D310" s="304">
        <v>23</v>
      </c>
      <c r="E310" s="304">
        <v>18</v>
      </c>
      <c r="F310" s="210">
        <f t="shared" si="12"/>
        <v>0</v>
      </c>
      <c r="G310" s="210">
        <f t="shared" si="12"/>
        <v>0</v>
      </c>
      <c r="H310" s="210">
        <f t="shared" si="12"/>
        <v>0</v>
      </c>
      <c r="I310" s="193"/>
      <c r="K310" s="193"/>
      <c r="L310" s="260"/>
    </row>
    <row r="311" spans="1:12" ht="25.5" x14ac:dyDescent="0.2">
      <c r="A311" s="194" t="s">
        <v>242</v>
      </c>
      <c r="B311" s="95"/>
      <c r="C311" s="304">
        <v>30</v>
      </c>
      <c r="D311" s="304">
        <v>27</v>
      </c>
      <c r="E311" s="304">
        <v>20</v>
      </c>
      <c r="F311" s="210">
        <f t="shared" si="12"/>
        <v>0</v>
      </c>
      <c r="G311" s="210">
        <f t="shared" si="12"/>
        <v>0</v>
      </c>
      <c r="H311" s="210">
        <f t="shared" si="12"/>
        <v>0</v>
      </c>
      <c r="I311" s="193"/>
      <c r="K311" s="193"/>
      <c r="L311" s="260"/>
    </row>
    <row r="312" spans="1:12" ht="25.5" x14ac:dyDescent="0.2">
      <c r="A312" s="194" t="s">
        <v>243</v>
      </c>
      <c r="B312" s="95"/>
      <c r="C312" s="304">
        <v>15</v>
      </c>
      <c r="D312" s="304">
        <v>17</v>
      </c>
      <c r="E312" s="304">
        <v>14</v>
      </c>
      <c r="F312" s="210">
        <f t="shared" si="12"/>
        <v>0</v>
      </c>
      <c r="G312" s="210">
        <f t="shared" si="12"/>
        <v>0</v>
      </c>
      <c r="H312" s="210">
        <f t="shared" si="12"/>
        <v>0</v>
      </c>
      <c r="I312" s="193"/>
      <c r="K312" s="193"/>
      <c r="L312" s="260"/>
    </row>
    <row r="313" spans="1:12" ht="25.5" x14ac:dyDescent="0.2">
      <c r="A313" s="194" t="s">
        <v>244</v>
      </c>
      <c r="B313" s="95"/>
      <c r="C313" s="304">
        <v>20</v>
      </c>
      <c r="D313" s="304">
        <v>18</v>
      </c>
      <c r="E313" s="304">
        <v>15</v>
      </c>
      <c r="F313" s="210">
        <f t="shared" ref="F313:H335" si="13">($B313)*C313</f>
        <v>0</v>
      </c>
      <c r="G313" s="210">
        <f t="shared" si="13"/>
        <v>0</v>
      </c>
      <c r="H313" s="210">
        <f t="shared" si="13"/>
        <v>0</v>
      </c>
      <c r="I313" s="193"/>
      <c r="K313" s="193"/>
      <c r="L313" s="260"/>
    </row>
    <row r="314" spans="1:12" ht="25.5" x14ac:dyDescent="0.2">
      <c r="A314" s="194" t="s">
        <v>245</v>
      </c>
      <c r="B314" s="95"/>
      <c r="C314" s="304">
        <v>18</v>
      </c>
      <c r="D314" s="304">
        <v>20</v>
      </c>
      <c r="E314" s="304">
        <v>15</v>
      </c>
      <c r="F314" s="210">
        <f t="shared" si="13"/>
        <v>0</v>
      </c>
      <c r="G314" s="210">
        <f t="shared" si="13"/>
        <v>0</v>
      </c>
      <c r="H314" s="210">
        <f t="shared" si="13"/>
        <v>0</v>
      </c>
      <c r="I314" s="193"/>
      <c r="K314" s="193"/>
      <c r="L314" s="260"/>
    </row>
    <row r="315" spans="1:12" x14ac:dyDescent="0.2">
      <c r="A315" s="194" t="s">
        <v>246</v>
      </c>
      <c r="B315" s="95"/>
      <c r="C315" s="304">
        <v>25</v>
      </c>
      <c r="D315" s="304">
        <v>25</v>
      </c>
      <c r="E315" s="304">
        <v>18</v>
      </c>
      <c r="F315" s="210">
        <f t="shared" si="13"/>
        <v>0</v>
      </c>
      <c r="G315" s="210">
        <f t="shared" si="13"/>
        <v>0</v>
      </c>
      <c r="H315" s="210">
        <f t="shared" si="13"/>
        <v>0</v>
      </c>
      <c r="I315" s="193"/>
      <c r="K315" s="193"/>
      <c r="L315" s="260"/>
    </row>
    <row r="316" spans="1:12" ht="25.5" x14ac:dyDescent="0.2">
      <c r="A316" s="194" t="s">
        <v>247</v>
      </c>
      <c r="B316" s="95"/>
      <c r="C316" s="304">
        <v>5.5</v>
      </c>
      <c r="D316" s="304">
        <v>2.5</v>
      </c>
      <c r="E316" s="304">
        <v>8</v>
      </c>
      <c r="F316" s="210">
        <f t="shared" si="13"/>
        <v>0</v>
      </c>
      <c r="G316" s="210">
        <f t="shared" si="13"/>
        <v>0</v>
      </c>
      <c r="H316" s="210">
        <f t="shared" si="13"/>
        <v>0</v>
      </c>
      <c r="I316" s="193"/>
      <c r="K316" s="193"/>
      <c r="L316" s="260"/>
    </row>
    <row r="317" spans="1:12" x14ac:dyDescent="0.2">
      <c r="A317" s="194" t="s">
        <v>248</v>
      </c>
      <c r="B317" s="95"/>
      <c r="C317" s="304">
        <v>4</v>
      </c>
      <c r="D317" s="304">
        <v>1.5</v>
      </c>
      <c r="E317" s="304">
        <v>3</v>
      </c>
      <c r="F317" s="210">
        <f t="shared" si="13"/>
        <v>0</v>
      </c>
      <c r="G317" s="210">
        <f t="shared" si="13"/>
        <v>0</v>
      </c>
      <c r="H317" s="210">
        <f t="shared" si="13"/>
        <v>0</v>
      </c>
      <c r="I317" s="193"/>
      <c r="K317" s="193"/>
      <c r="L317" s="260"/>
    </row>
    <row r="318" spans="1:12" x14ac:dyDescent="0.2">
      <c r="A318" s="194" t="s">
        <v>249</v>
      </c>
      <c r="B318" s="95"/>
      <c r="C318" s="304">
        <v>6</v>
      </c>
      <c r="D318" s="304">
        <v>4</v>
      </c>
      <c r="E318" s="304">
        <v>10</v>
      </c>
      <c r="F318" s="210">
        <f t="shared" si="13"/>
        <v>0</v>
      </c>
      <c r="G318" s="210">
        <f t="shared" si="13"/>
        <v>0</v>
      </c>
      <c r="H318" s="210">
        <f t="shared" si="13"/>
        <v>0</v>
      </c>
      <c r="I318" s="193"/>
      <c r="K318" s="193"/>
      <c r="L318" s="260"/>
    </row>
    <row r="319" spans="1:12" ht="25.5" x14ac:dyDescent="0.2">
      <c r="A319" s="194" t="s">
        <v>250</v>
      </c>
      <c r="B319" s="95"/>
      <c r="C319" s="304">
        <v>5</v>
      </c>
      <c r="D319" s="304">
        <v>3</v>
      </c>
      <c r="E319" s="304">
        <v>4</v>
      </c>
      <c r="F319" s="210">
        <f t="shared" si="13"/>
        <v>0</v>
      </c>
      <c r="G319" s="210">
        <f t="shared" si="13"/>
        <v>0</v>
      </c>
      <c r="H319" s="210">
        <f t="shared" si="13"/>
        <v>0</v>
      </c>
      <c r="I319" s="193"/>
      <c r="K319" s="193"/>
      <c r="L319" s="260"/>
    </row>
    <row r="320" spans="1:12" x14ac:dyDescent="0.2">
      <c r="A320" s="194" t="s">
        <v>251</v>
      </c>
      <c r="B320" s="95"/>
      <c r="C320" s="304">
        <v>4.5</v>
      </c>
      <c r="D320" s="304">
        <v>5</v>
      </c>
      <c r="E320" s="304">
        <v>3</v>
      </c>
      <c r="F320" s="210">
        <f t="shared" si="13"/>
        <v>0</v>
      </c>
      <c r="G320" s="210">
        <f t="shared" si="13"/>
        <v>0</v>
      </c>
      <c r="H320" s="210">
        <f t="shared" si="13"/>
        <v>0</v>
      </c>
      <c r="I320" s="193"/>
      <c r="K320" s="193"/>
      <c r="L320" s="260"/>
    </row>
    <row r="321" spans="1:12" x14ac:dyDescent="0.2">
      <c r="A321" s="194" t="s">
        <v>252</v>
      </c>
      <c r="B321" s="95"/>
      <c r="C321" s="304">
        <v>4</v>
      </c>
      <c r="D321" s="304">
        <v>5.5</v>
      </c>
      <c r="E321" s="304">
        <v>4.5999999999999996</v>
      </c>
      <c r="F321" s="210">
        <f t="shared" si="13"/>
        <v>0</v>
      </c>
      <c r="G321" s="210">
        <f t="shared" si="13"/>
        <v>0</v>
      </c>
      <c r="H321" s="210">
        <f t="shared" si="13"/>
        <v>0</v>
      </c>
      <c r="I321" s="193"/>
      <c r="K321" s="193"/>
      <c r="L321" s="260"/>
    </row>
    <row r="322" spans="1:12" ht="25.5" x14ac:dyDescent="0.2">
      <c r="A322" s="194" t="s">
        <v>253</v>
      </c>
      <c r="B322" s="95"/>
      <c r="C322" s="304">
        <v>7.9</v>
      </c>
      <c r="D322" s="304">
        <v>4.9000000000000004</v>
      </c>
      <c r="E322" s="304">
        <v>5.8</v>
      </c>
      <c r="F322" s="210">
        <f>($B322)*C322</f>
        <v>0</v>
      </c>
      <c r="G322" s="210">
        <f t="shared" si="13"/>
        <v>0</v>
      </c>
      <c r="H322" s="210">
        <f t="shared" si="13"/>
        <v>0</v>
      </c>
      <c r="I322" s="193"/>
      <c r="K322" s="193"/>
      <c r="L322" s="260"/>
    </row>
    <row r="323" spans="1:12" ht="25.5" x14ac:dyDescent="0.2">
      <c r="A323" s="194" t="s">
        <v>254</v>
      </c>
      <c r="B323" s="95"/>
      <c r="C323" s="305">
        <v>2.2999999523162842</v>
      </c>
      <c r="D323" s="305">
        <v>1.7000000476837158</v>
      </c>
      <c r="E323" s="305">
        <v>1.7000000476837158</v>
      </c>
      <c r="F323" s="210">
        <f t="shared" si="13"/>
        <v>0</v>
      </c>
      <c r="G323" s="210">
        <f t="shared" si="13"/>
        <v>0</v>
      </c>
      <c r="H323" s="210">
        <f t="shared" si="13"/>
        <v>0</v>
      </c>
      <c r="I323" s="193"/>
      <c r="K323" s="193"/>
      <c r="L323" s="260"/>
    </row>
    <row r="324" spans="1:12" ht="25.5" x14ac:dyDescent="0.2">
      <c r="A324" s="194" t="s">
        <v>255</v>
      </c>
      <c r="B324" s="95"/>
      <c r="C324" s="305">
        <v>3.5</v>
      </c>
      <c r="D324" s="305">
        <v>2.2000000476837158</v>
      </c>
      <c r="E324" s="305">
        <v>2.9000000953674316</v>
      </c>
      <c r="F324" s="210">
        <f t="shared" si="13"/>
        <v>0</v>
      </c>
      <c r="G324" s="210">
        <f t="shared" si="13"/>
        <v>0</v>
      </c>
      <c r="H324" s="210">
        <f t="shared" si="13"/>
        <v>0</v>
      </c>
      <c r="I324" s="193"/>
      <c r="K324" s="193"/>
      <c r="L324" s="260"/>
    </row>
    <row r="325" spans="1:12" ht="25.5" x14ac:dyDescent="0.2">
      <c r="A325" s="194" t="s">
        <v>256</v>
      </c>
      <c r="B325" s="95"/>
      <c r="C325" s="305">
        <v>4.4000000953674316</v>
      </c>
      <c r="D325" s="305">
        <v>2.7999999523162842</v>
      </c>
      <c r="E325" s="305">
        <v>3.2999999523162842</v>
      </c>
      <c r="F325" s="210">
        <f t="shared" si="13"/>
        <v>0</v>
      </c>
      <c r="G325" s="210">
        <f>($B325)*D325</f>
        <v>0</v>
      </c>
      <c r="H325" s="210">
        <f t="shared" si="13"/>
        <v>0</v>
      </c>
      <c r="I325" s="193"/>
      <c r="K325" s="193"/>
      <c r="L325" s="260"/>
    </row>
    <row r="326" spans="1:12" ht="25.5" x14ac:dyDescent="0.2">
      <c r="A326" s="194" t="s">
        <v>257</v>
      </c>
      <c r="B326" s="95"/>
      <c r="C326" s="305">
        <v>6.0999999046325684</v>
      </c>
      <c r="D326" s="305">
        <v>3.7999999523162842</v>
      </c>
      <c r="E326" s="305">
        <v>4.5</v>
      </c>
      <c r="F326" s="210">
        <f t="shared" si="13"/>
        <v>0</v>
      </c>
      <c r="G326" s="210">
        <f t="shared" si="13"/>
        <v>0</v>
      </c>
      <c r="H326" s="210">
        <f t="shared" si="13"/>
        <v>0</v>
      </c>
      <c r="I326" s="193"/>
      <c r="K326" s="193"/>
      <c r="L326" s="260"/>
    </row>
    <row r="327" spans="1:12" ht="25.5" x14ac:dyDescent="0.2">
      <c r="A327" s="194" t="s">
        <v>258</v>
      </c>
      <c r="B327" s="95"/>
      <c r="C327" s="306">
        <v>7</v>
      </c>
      <c r="D327" s="306">
        <v>9</v>
      </c>
      <c r="E327" s="306">
        <v>6</v>
      </c>
      <c r="F327" s="210">
        <f t="shared" si="13"/>
        <v>0</v>
      </c>
      <c r="G327" s="210">
        <f t="shared" si="13"/>
        <v>0</v>
      </c>
      <c r="H327" s="210">
        <f t="shared" si="13"/>
        <v>0</v>
      </c>
      <c r="I327" s="193"/>
      <c r="K327" s="193"/>
      <c r="L327" s="260"/>
    </row>
    <row r="328" spans="1:12" ht="25.5" x14ac:dyDescent="0.2">
      <c r="A328" s="194" t="s">
        <v>259</v>
      </c>
      <c r="B328" s="95"/>
      <c r="C328" s="305">
        <v>1.5</v>
      </c>
      <c r="D328" s="305">
        <v>0.60000002384185791</v>
      </c>
      <c r="E328" s="305">
        <v>1.6000000238418579</v>
      </c>
      <c r="F328" s="210">
        <f t="shared" si="13"/>
        <v>0</v>
      </c>
      <c r="G328" s="210">
        <f t="shared" si="13"/>
        <v>0</v>
      </c>
      <c r="H328" s="210">
        <f t="shared" si="13"/>
        <v>0</v>
      </c>
      <c r="I328" s="193"/>
      <c r="K328" s="193"/>
      <c r="L328" s="260"/>
    </row>
    <row r="329" spans="1:12" ht="25.5" x14ac:dyDescent="0.2">
      <c r="A329" s="194" t="s">
        <v>260</v>
      </c>
      <c r="B329" s="95"/>
      <c r="C329" s="305">
        <v>4.5</v>
      </c>
      <c r="D329" s="306">
        <v>2</v>
      </c>
      <c r="E329" s="306">
        <v>5</v>
      </c>
      <c r="F329" s="210">
        <f t="shared" si="13"/>
        <v>0</v>
      </c>
      <c r="G329" s="210">
        <f t="shared" si="13"/>
        <v>0</v>
      </c>
      <c r="H329" s="210">
        <f t="shared" si="13"/>
        <v>0</v>
      </c>
      <c r="I329" s="193"/>
      <c r="K329" s="193"/>
      <c r="L329" s="260"/>
    </row>
    <row r="330" spans="1:12" ht="38.25" x14ac:dyDescent="0.2">
      <c r="A330" s="194" t="s">
        <v>261</v>
      </c>
      <c r="B330" s="95"/>
      <c r="C330" s="305">
        <v>2.7999999523162842</v>
      </c>
      <c r="D330" s="305">
        <v>1.3</v>
      </c>
      <c r="E330" s="305">
        <v>2.7000000476837158</v>
      </c>
      <c r="F330" s="210">
        <f>($B330)*C330</f>
        <v>0</v>
      </c>
      <c r="G330" s="210">
        <f t="shared" si="13"/>
        <v>0</v>
      </c>
      <c r="H330" s="210">
        <f>($B330)*E330</f>
        <v>0</v>
      </c>
      <c r="I330" s="193"/>
      <c r="K330" s="193"/>
      <c r="L330" s="260"/>
    </row>
    <row r="331" spans="1:12" x14ac:dyDescent="0.2">
      <c r="A331" s="212" t="s">
        <v>262</v>
      </c>
      <c r="B331" s="95"/>
      <c r="C331" s="305">
        <v>2.5</v>
      </c>
      <c r="D331" s="305">
        <v>1.5</v>
      </c>
      <c r="E331" s="306">
        <v>3</v>
      </c>
      <c r="F331" s="210">
        <f t="shared" si="13"/>
        <v>0</v>
      </c>
      <c r="G331" s="210">
        <f t="shared" si="13"/>
        <v>0</v>
      </c>
      <c r="H331" s="210">
        <f t="shared" si="13"/>
        <v>0</v>
      </c>
      <c r="I331" s="193"/>
      <c r="K331" s="193"/>
      <c r="L331" s="260"/>
    </row>
    <row r="332" spans="1:12" x14ac:dyDescent="0.2">
      <c r="A332" s="212" t="s">
        <v>263</v>
      </c>
      <c r="B332" s="95"/>
      <c r="C332" s="305">
        <v>7.6999998092651367</v>
      </c>
      <c r="D332" s="305">
        <v>4.5999999999999996</v>
      </c>
      <c r="E332" s="305">
        <v>12.3</v>
      </c>
      <c r="F332" s="210">
        <f t="shared" si="13"/>
        <v>0</v>
      </c>
      <c r="G332" s="210">
        <f t="shared" si="13"/>
        <v>0</v>
      </c>
      <c r="H332" s="210">
        <f t="shared" si="13"/>
        <v>0</v>
      </c>
      <c r="I332" s="193"/>
      <c r="K332" s="193"/>
      <c r="L332" s="260"/>
    </row>
    <row r="333" spans="1:12" x14ac:dyDescent="0.2">
      <c r="A333" s="213" t="s">
        <v>265</v>
      </c>
      <c r="B333" s="95"/>
      <c r="C333" s="306">
        <v>2</v>
      </c>
      <c r="D333" s="305">
        <v>0.9</v>
      </c>
      <c r="E333" s="305">
        <v>5.7</v>
      </c>
      <c r="F333" s="210">
        <f t="shared" si="13"/>
        <v>0</v>
      </c>
      <c r="G333" s="210">
        <f t="shared" si="13"/>
        <v>0</v>
      </c>
      <c r="H333" s="210">
        <f t="shared" si="13"/>
        <v>0</v>
      </c>
      <c r="I333" s="193"/>
      <c r="K333" s="193"/>
      <c r="L333" s="260"/>
    </row>
    <row r="334" spans="1:12" x14ac:dyDescent="0.2">
      <c r="A334" s="213" t="s">
        <v>197</v>
      </c>
      <c r="B334" s="95"/>
      <c r="C334" s="95"/>
      <c r="D334" s="95"/>
      <c r="E334" s="95"/>
      <c r="F334" s="210">
        <f t="shared" si="13"/>
        <v>0</v>
      </c>
      <c r="G334" s="210">
        <f t="shared" si="13"/>
        <v>0</v>
      </c>
      <c r="H334" s="210">
        <f t="shared" si="13"/>
        <v>0</v>
      </c>
      <c r="I334" s="193"/>
      <c r="K334" s="193"/>
      <c r="L334" s="260"/>
    </row>
    <row r="335" spans="1:12" x14ac:dyDescent="0.2">
      <c r="A335" s="213" t="s">
        <v>197</v>
      </c>
      <c r="B335" s="95"/>
      <c r="C335" s="95"/>
      <c r="D335" s="95"/>
      <c r="E335" s="95"/>
      <c r="F335" s="210">
        <f t="shared" si="13"/>
        <v>0</v>
      </c>
      <c r="G335" s="210">
        <f t="shared" si="13"/>
        <v>0</v>
      </c>
      <c r="H335" s="210">
        <f t="shared" si="13"/>
        <v>0</v>
      </c>
      <c r="I335" s="193"/>
      <c r="K335" s="193"/>
      <c r="L335" s="260"/>
    </row>
    <row r="336" spans="1:12" x14ac:dyDescent="0.2">
      <c r="A336" s="261"/>
      <c r="B336" s="262"/>
      <c r="C336" s="196"/>
      <c r="D336" s="197"/>
      <c r="E336" s="197"/>
      <c r="F336" s="198" t="s">
        <v>167</v>
      </c>
      <c r="G336" s="198" t="s">
        <v>168</v>
      </c>
      <c r="H336" s="198" t="s">
        <v>169</v>
      </c>
      <c r="I336" s="175"/>
      <c r="J336" s="175"/>
      <c r="K336" s="175"/>
      <c r="L336" s="175"/>
    </row>
    <row r="337" spans="1:12" x14ac:dyDescent="0.2">
      <c r="A337" s="261"/>
      <c r="B337" s="262"/>
      <c r="C337" s="196"/>
      <c r="D337" s="199" t="s">
        <v>198</v>
      </c>
      <c r="E337" s="200" t="s">
        <v>199</v>
      </c>
      <c r="F337" s="192">
        <f>SUM(F281:F335)</f>
        <v>0</v>
      </c>
      <c r="G337" s="192">
        <f>SUM(G281:G335)</f>
        <v>0</v>
      </c>
      <c r="H337" s="192">
        <f>SUM(H281:H335)</f>
        <v>0</v>
      </c>
      <c r="I337" s="175"/>
      <c r="J337" s="175"/>
      <c r="K337" s="175"/>
      <c r="L337" s="175"/>
    </row>
    <row r="338" spans="1:12" x14ac:dyDescent="0.2">
      <c r="A338" s="261"/>
      <c r="B338" s="262"/>
      <c r="C338" s="196"/>
      <c r="D338" s="538" t="s">
        <v>200</v>
      </c>
      <c r="E338" s="539"/>
      <c r="F338" s="201">
        <v>1</v>
      </c>
      <c r="G338" s="201">
        <v>0.437</v>
      </c>
      <c r="H338" s="201">
        <v>0.83</v>
      </c>
      <c r="I338" s="175"/>
      <c r="J338" s="175"/>
      <c r="K338" s="175"/>
      <c r="L338" s="175"/>
    </row>
    <row r="339" spans="1:12" ht="13.5" thickBot="1" x14ac:dyDescent="0.25">
      <c r="A339" s="261"/>
      <c r="B339" s="262"/>
      <c r="C339" s="196"/>
      <c r="D339" s="316"/>
      <c r="E339" s="317"/>
      <c r="F339" s="318" t="s">
        <v>167</v>
      </c>
      <c r="G339" s="318" t="s">
        <v>201</v>
      </c>
      <c r="H339" s="318" t="s">
        <v>202</v>
      </c>
      <c r="I339" s="175"/>
      <c r="J339" s="175"/>
      <c r="K339" s="175"/>
      <c r="L339" s="175"/>
    </row>
    <row r="340" spans="1:12" ht="51.75" thickBot="1" x14ac:dyDescent="0.25">
      <c r="A340" s="261"/>
      <c r="B340" s="262"/>
      <c r="C340" s="196"/>
      <c r="D340" s="319" t="s">
        <v>267</v>
      </c>
      <c r="E340" s="307" t="s">
        <v>199</v>
      </c>
      <c r="F340" s="320">
        <f>F337*F338</f>
        <v>0</v>
      </c>
      <c r="G340" s="320">
        <f>G337*G338</f>
        <v>0</v>
      </c>
      <c r="H340" s="321">
        <f>H337*H338</f>
        <v>0</v>
      </c>
      <c r="I340" s="175"/>
      <c r="J340" s="175"/>
      <c r="K340" s="175"/>
      <c r="L340" s="175"/>
    </row>
    <row r="341" spans="1:12" x14ac:dyDescent="0.2">
      <c r="A341" s="175"/>
      <c r="B341" s="175"/>
      <c r="C341" s="175"/>
      <c r="D341" s="175"/>
      <c r="E341" s="175"/>
      <c r="F341" s="175"/>
      <c r="G341" s="175"/>
      <c r="H341" s="175"/>
      <c r="I341" s="175"/>
      <c r="J341" s="175"/>
      <c r="K341" s="175"/>
      <c r="L341" s="175"/>
    </row>
    <row r="342" spans="1:12" ht="20.25" customHeight="1" x14ac:dyDescent="0.2">
      <c r="A342" s="516" t="s">
        <v>406</v>
      </c>
      <c r="B342" s="516"/>
      <c r="C342" s="516"/>
      <c r="D342" s="516"/>
      <c r="E342" s="516"/>
      <c r="F342" s="516"/>
      <c r="G342" s="516"/>
      <c r="H342" s="516"/>
      <c r="I342" s="516"/>
      <c r="J342" s="516"/>
      <c r="K342" s="182"/>
    </row>
    <row r="343" spans="1:12" x14ac:dyDescent="0.2">
      <c r="A343" s="175"/>
      <c r="B343" s="175"/>
      <c r="C343" s="175"/>
      <c r="D343" s="175"/>
      <c r="E343" s="175"/>
      <c r="F343" s="175"/>
      <c r="G343" s="175"/>
      <c r="H343" s="175"/>
      <c r="I343" s="175"/>
      <c r="J343" s="175"/>
      <c r="K343" s="175"/>
      <c r="L343" s="175"/>
    </row>
    <row r="344" spans="1:12" ht="15" x14ac:dyDescent="0.3">
      <c r="A344" s="263"/>
      <c r="B344" s="264"/>
      <c r="C344" s="264"/>
      <c r="D344" s="264"/>
      <c r="E344" s="265"/>
      <c r="F344" s="264"/>
      <c r="G344" s="266"/>
      <c r="H344" s="267"/>
      <c r="I344" s="267"/>
    </row>
    <row r="345" spans="1:12" ht="63.75" x14ac:dyDescent="0.2">
      <c r="A345" s="540" t="s">
        <v>407</v>
      </c>
      <c r="B345" s="236" t="s">
        <v>408</v>
      </c>
      <c r="C345" s="237" t="s">
        <v>297</v>
      </c>
      <c r="D345" s="209" t="s">
        <v>298</v>
      </c>
      <c r="E345" s="201" t="s">
        <v>167</v>
      </c>
      <c r="F345" s="201" t="s">
        <v>201</v>
      </c>
      <c r="G345" s="201" t="s">
        <v>202</v>
      </c>
      <c r="H345" s="209" t="s">
        <v>167</v>
      </c>
      <c r="I345" s="209" t="s">
        <v>201</v>
      </c>
      <c r="J345" s="209" t="s">
        <v>202</v>
      </c>
      <c r="K345" s="267"/>
    </row>
    <row r="346" spans="1:12" x14ac:dyDescent="0.2">
      <c r="A346" s="541"/>
      <c r="B346" s="221" t="s">
        <v>299</v>
      </c>
      <c r="C346" s="225" t="s">
        <v>271</v>
      </c>
      <c r="D346" s="221" t="s">
        <v>300</v>
      </c>
      <c r="E346" s="221" t="s">
        <v>301</v>
      </c>
      <c r="F346" s="221" t="s">
        <v>301</v>
      </c>
      <c r="G346" s="221" t="s">
        <v>301</v>
      </c>
      <c r="H346" s="188" t="s">
        <v>172</v>
      </c>
      <c r="I346" s="188" t="s">
        <v>172</v>
      </c>
      <c r="J346" s="188" t="s">
        <v>172</v>
      </c>
      <c r="K346" s="267"/>
    </row>
    <row r="347" spans="1:12" x14ac:dyDescent="0.2">
      <c r="A347" s="238" t="s">
        <v>409</v>
      </c>
      <c r="B347" s="95"/>
      <c r="C347" s="330">
        <v>85</v>
      </c>
      <c r="D347" s="331">
        <f>B347*C347/100</f>
        <v>0</v>
      </c>
      <c r="E347" s="332">
        <v>16</v>
      </c>
      <c r="F347" s="332">
        <v>3.5</v>
      </c>
      <c r="G347" s="332">
        <v>5.1999998092651367</v>
      </c>
      <c r="H347" s="331">
        <f t="shared" ref="H347:J370" si="14">$D347*E347</f>
        <v>0</v>
      </c>
      <c r="I347" s="331">
        <f t="shared" si="14"/>
        <v>0</v>
      </c>
      <c r="J347" s="331">
        <f t="shared" si="14"/>
        <v>0</v>
      </c>
      <c r="K347" s="193"/>
    </row>
    <row r="348" spans="1:12" x14ac:dyDescent="0.2">
      <c r="A348" s="194" t="s">
        <v>410</v>
      </c>
      <c r="B348" s="95"/>
      <c r="C348" s="330">
        <v>85</v>
      </c>
      <c r="D348" s="331">
        <f t="shared" ref="D348:D370" si="15">B348*C348/100</f>
        <v>0</v>
      </c>
      <c r="E348" s="332">
        <v>20</v>
      </c>
      <c r="F348" s="332">
        <v>3.7999999523162842</v>
      </c>
      <c r="G348" s="332">
        <v>4.3000001907348633</v>
      </c>
      <c r="H348" s="331">
        <f t="shared" si="14"/>
        <v>0</v>
      </c>
      <c r="I348" s="331">
        <f t="shared" si="14"/>
        <v>0</v>
      </c>
      <c r="J348" s="331">
        <f t="shared" si="14"/>
        <v>0</v>
      </c>
      <c r="K348" s="193"/>
    </row>
    <row r="349" spans="1:12" x14ac:dyDescent="0.2">
      <c r="A349" s="194" t="s">
        <v>411</v>
      </c>
      <c r="B349" s="95"/>
      <c r="C349" s="330">
        <v>85</v>
      </c>
      <c r="D349" s="331">
        <f t="shared" si="15"/>
        <v>0</v>
      </c>
      <c r="E349" s="333">
        <v>25.100000381469727</v>
      </c>
      <c r="F349" s="333">
        <v>3.9000000953674316</v>
      </c>
      <c r="G349" s="333">
        <v>4.3</v>
      </c>
      <c r="H349" s="331">
        <f t="shared" si="14"/>
        <v>0</v>
      </c>
      <c r="I349" s="331">
        <f t="shared" si="14"/>
        <v>0</v>
      </c>
      <c r="J349" s="331">
        <f t="shared" si="14"/>
        <v>0</v>
      </c>
      <c r="K349" s="193"/>
    </row>
    <row r="350" spans="1:12" x14ac:dyDescent="0.2">
      <c r="A350" s="191" t="s">
        <v>412</v>
      </c>
      <c r="B350" s="95"/>
      <c r="C350" s="330">
        <v>85</v>
      </c>
      <c r="D350" s="331">
        <f t="shared" si="15"/>
        <v>0</v>
      </c>
      <c r="E350" s="333">
        <v>13.5</v>
      </c>
      <c r="F350" s="333">
        <v>6.3</v>
      </c>
      <c r="G350" s="333">
        <v>2.7</v>
      </c>
      <c r="H350" s="331">
        <f>$D350*E350</f>
        <v>0</v>
      </c>
      <c r="I350" s="331">
        <f>$D350*F350</f>
        <v>0</v>
      </c>
      <c r="J350" s="331">
        <f>$D350*G350</f>
        <v>0</v>
      </c>
      <c r="K350" s="193"/>
    </row>
    <row r="351" spans="1:12" x14ac:dyDescent="0.2">
      <c r="A351" s="194" t="s">
        <v>413</v>
      </c>
      <c r="B351" s="95"/>
      <c r="C351" s="330">
        <v>85</v>
      </c>
      <c r="D351" s="331">
        <f t="shared" si="15"/>
        <v>0</v>
      </c>
      <c r="E351" s="333">
        <v>35</v>
      </c>
      <c r="F351" s="333">
        <v>6.55</v>
      </c>
      <c r="G351" s="333">
        <v>0.83</v>
      </c>
      <c r="H351" s="331">
        <f t="shared" si="14"/>
        <v>0</v>
      </c>
      <c r="I351" s="331">
        <f t="shared" si="14"/>
        <v>0</v>
      </c>
      <c r="J351" s="331">
        <f t="shared" si="14"/>
        <v>0</v>
      </c>
      <c r="K351" s="193"/>
    </row>
    <row r="352" spans="1:12" ht="25.5" x14ac:dyDescent="0.2">
      <c r="A352" s="194" t="s">
        <v>330</v>
      </c>
      <c r="B352" s="95"/>
      <c r="C352" s="330">
        <v>20</v>
      </c>
      <c r="D352" s="331">
        <f t="shared" si="15"/>
        <v>0</v>
      </c>
      <c r="E352" s="333">
        <v>22</v>
      </c>
      <c r="F352" s="333">
        <v>3</v>
      </c>
      <c r="G352" s="333">
        <v>20.700000762939453</v>
      </c>
      <c r="H352" s="331">
        <f t="shared" si="14"/>
        <v>0</v>
      </c>
      <c r="I352" s="331">
        <f t="shared" si="14"/>
        <v>0</v>
      </c>
      <c r="J352" s="331">
        <f t="shared" si="14"/>
        <v>0</v>
      </c>
      <c r="K352" s="193"/>
    </row>
    <row r="353" spans="1:11" x14ac:dyDescent="0.2">
      <c r="A353" s="194" t="s">
        <v>77</v>
      </c>
      <c r="B353" s="95"/>
      <c r="C353" s="330">
        <v>86.5</v>
      </c>
      <c r="D353" s="331">
        <f t="shared" si="15"/>
        <v>0</v>
      </c>
      <c r="E353" s="333">
        <v>41</v>
      </c>
      <c r="F353" s="333">
        <v>4.8</v>
      </c>
      <c r="G353" s="333">
        <v>12.4</v>
      </c>
      <c r="H353" s="331">
        <f t="shared" si="14"/>
        <v>0</v>
      </c>
      <c r="I353" s="331">
        <f t="shared" si="14"/>
        <v>0</v>
      </c>
      <c r="J353" s="331">
        <f t="shared" si="14"/>
        <v>0</v>
      </c>
      <c r="K353" s="193"/>
    </row>
    <row r="354" spans="1:11" ht="25.5" x14ac:dyDescent="0.2">
      <c r="A354" s="194" t="s">
        <v>334</v>
      </c>
      <c r="B354" s="95"/>
      <c r="C354" s="330">
        <v>85</v>
      </c>
      <c r="D354" s="331">
        <f t="shared" si="15"/>
        <v>0</v>
      </c>
      <c r="E354" s="333">
        <v>20</v>
      </c>
      <c r="F354" s="333">
        <v>2.5999999046325684</v>
      </c>
      <c r="G354" s="333">
        <v>19</v>
      </c>
      <c r="H354" s="331">
        <f t="shared" si="14"/>
        <v>0</v>
      </c>
      <c r="I354" s="331">
        <f t="shared" si="14"/>
        <v>0</v>
      </c>
      <c r="J354" s="331">
        <f t="shared" si="14"/>
        <v>0</v>
      </c>
      <c r="K354" s="193"/>
    </row>
    <row r="355" spans="1:11" ht="25.5" x14ac:dyDescent="0.2">
      <c r="A355" s="194" t="s">
        <v>335</v>
      </c>
      <c r="B355" s="95"/>
      <c r="C355" s="330">
        <v>85</v>
      </c>
      <c r="D355" s="331">
        <f>B355*C355/100</f>
        <v>0</v>
      </c>
      <c r="E355" s="333">
        <v>15</v>
      </c>
      <c r="F355" s="333">
        <v>2.5999999046325684</v>
      </c>
      <c r="G355" s="333">
        <v>18.299999237060547</v>
      </c>
      <c r="H355" s="331">
        <f t="shared" si="14"/>
        <v>0</v>
      </c>
      <c r="I355" s="331">
        <f t="shared" si="14"/>
        <v>0</v>
      </c>
      <c r="J355" s="331">
        <f t="shared" si="14"/>
        <v>0</v>
      </c>
      <c r="K355" s="193"/>
    </row>
    <row r="356" spans="1:11" ht="25.5" x14ac:dyDescent="0.2">
      <c r="A356" s="194" t="s">
        <v>336</v>
      </c>
      <c r="B356" s="95"/>
      <c r="C356" s="330">
        <v>85</v>
      </c>
      <c r="D356" s="331">
        <f t="shared" si="15"/>
        <v>0</v>
      </c>
      <c r="E356" s="333">
        <v>13</v>
      </c>
      <c r="F356" s="333">
        <v>2.2999999523162842</v>
      </c>
      <c r="G356" s="333">
        <v>16</v>
      </c>
      <c r="H356" s="331">
        <f t="shared" si="14"/>
        <v>0</v>
      </c>
      <c r="I356" s="331">
        <f t="shared" si="14"/>
        <v>0</v>
      </c>
      <c r="J356" s="331">
        <f t="shared" si="14"/>
        <v>0</v>
      </c>
      <c r="K356" s="193"/>
    </row>
    <row r="357" spans="1:11" x14ac:dyDescent="0.2">
      <c r="A357" s="194" t="s">
        <v>340</v>
      </c>
      <c r="B357" s="95"/>
      <c r="C357" s="330">
        <v>88</v>
      </c>
      <c r="D357" s="331">
        <f t="shared" si="15"/>
        <v>0</v>
      </c>
      <c r="E357" s="333">
        <v>36</v>
      </c>
      <c r="F357" s="333">
        <v>4.8</v>
      </c>
      <c r="G357" s="333">
        <v>14.9</v>
      </c>
      <c r="H357" s="331">
        <f t="shared" si="14"/>
        <v>0</v>
      </c>
      <c r="I357" s="331">
        <f t="shared" si="14"/>
        <v>0</v>
      </c>
      <c r="J357" s="331">
        <f t="shared" si="14"/>
        <v>0</v>
      </c>
      <c r="K357" s="193"/>
    </row>
    <row r="358" spans="1:11" x14ac:dyDescent="0.2">
      <c r="A358" s="194" t="s">
        <v>414</v>
      </c>
      <c r="B358" s="95"/>
      <c r="C358" s="330">
        <v>86.699996948242188</v>
      </c>
      <c r="D358" s="331">
        <f>B358*C358/100</f>
        <v>0</v>
      </c>
      <c r="E358" s="333">
        <v>53</v>
      </c>
      <c r="F358" s="333">
        <v>3.93</v>
      </c>
      <c r="G358" s="333">
        <v>11.6</v>
      </c>
      <c r="H358" s="331">
        <f t="shared" si="14"/>
        <v>0</v>
      </c>
      <c r="I358" s="331">
        <f t="shared" si="14"/>
        <v>0</v>
      </c>
      <c r="J358" s="331">
        <f t="shared" si="14"/>
        <v>0</v>
      </c>
      <c r="K358" s="193"/>
    </row>
    <row r="359" spans="1:11" x14ac:dyDescent="0.2">
      <c r="A359" s="194" t="s">
        <v>343</v>
      </c>
      <c r="B359" s="95"/>
      <c r="C359" s="330">
        <v>30</v>
      </c>
      <c r="D359" s="331">
        <f t="shared" si="15"/>
        <v>0</v>
      </c>
      <c r="E359" s="332">
        <v>13</v>
      </c>
      <c r="F359" s="332">
        <v>2.4000000953674316</v>
      </c>
      <c r="G359" s="332">
        <v>10.399999618530273</v>
      </c>
      <c r="H359" s="331">
        <f t="shared" si="14"/>
        <v>0</v>
      </c>
      <c r="I359" s="331">
        <f t="shared" si="14"/>
        <v>0</v>
      </c>
      <c r="J359" s="331">
        <f t="shared" si="14"/>
        <v>0</v>
      </c>
      <c r="K359" s="193"/>
    </row>
    <row r="360" spans="1:11" x14ac:dyDescent="0.2">
      <c r="A360" s="194" t="s">
        <v>344</v>
      </c>
      <c r="B360" s="95"/>
      <c r="C360" s="330">
        <v>85</v>
      </c>
      <c r="D360" s="331">
        <f t="shared" si="15"/>
        <v>0</v>
      </c>
      <c r="E360" s="332">
        <v>15</v>
      </c>
      <c r="F360" s="332">
        <v>3.5</v>
      </c>
      <c r="G360" s="332">
        <v>3.5999999046325684</v>
      </c>
      <c r="H360" s="331">
        <f t="shared" si="14"/>
        <v>0</v>
      </c>
      <c r="I360" s="331">
        <f t="shared" si="14"/>
        <v>0</v>
      </c>
      <c r="J360" s="331">
        <f t="shared" si="14"/>
        <v>0</v>
      </c>
      <c r="K360" s="193"/>
    </row>
    <row r="361" spans="1:11" ht="25.5" x14ac:dyDescent="0.2">
      <c r="A361" s="194" t="s">
        <v>348</v>
      </c>
      <c r="B361" s="95"/>
      <c r="C361" s="330">
        <v>85</v>
      </c>
      <c r="D361" s="331">
        <f t="shared" si="15"/>
        <v>0</v>
      </c>
      <c r="E361" s="332">
        <v>22</v>
      </c>
      <c r="F361" s="332">
        <v>4</v>
      </c>
      <c r="G361" s="332">
        <v>0</v>
      </c>
      <c r="H361" s="331">
        <f t="shared" si="14"/>
        <v>0</v>
      </c>
      <c r="I361" s="331">
        <f t="shared" si="14"/>
        <v>0</v>
      </c>
      <c r="J361" s="331">
        <f t="shared" si="14"/>
        <v>0</v>
      </c>
      <c r="K361" s="193"/>
    </row>
    <row r="362" spans="1:11" x14ac:dyDescent="0.2">
      <c r="A362" s="194" t="s">
        <v>415</v>
      </c>
      <c r="B362" s="95"/>
      <c r="C362" s="330">
        <v>85</v>
      </c>
      <c r="D362" s="331">
        <f t="shared" si="15"/>
        <v>0</v>
      </c>
      <c r="E362" s="332">
        <v>19.299999237060547</v>
      </c>
      <c r="F362" s="332">
        <v>4</v>
      </c>
      <c r="G362" s="332">
        <v>5.8000001907348633</v>
      </c>
      <c r="H362" s="331">
        <f t="shared" si="14"/>
        <v>0</v>
      </c>
      <c r="I362" s="331">
        <f t="shared" si="14"/>
        <v>0</v>
      </c>
      <c r="J362" s="331">
        <f t="shared" si="14"/>
        <v>0</v>
      </c>
      <c r="K362" s="193"/>
    </row>
    <row r="363" spans="1:11" x14ac:dyDescent="0.2">
      <c r="A363" s="194" t="s">
        <v>352</v>
      </c>
      <c r="B363" s="95"/>
      <c r="C363" s="330">
        <v>85</v>
      </c>
      <c r="D363" s="331">
        <f t="shared" si="15"/>
        <v>0</v>
      </c>
      <c r="E363" s="332">
        <v>5.5999999046325684</v>
      </c>
      <c r="F363" s="332">
        <v>1</v>
      </c>
      <c r="G363" s="332">
        <v>9.5</v>
      </c>
      <c r="H363" s="331">
        <f t="shared" si="14"/>
        <v>0</v>
      </c>
      <c r="I363" s="331">
        <f t="shared" si="14"/>
        <v>0</v>
      </c>
      <c r="J363" s="331">
        <f t="shared" si="14"/>
        <v>0</v>
      </c>
      <c r="K363" s="193"/>
    </row>
    <row r="364" spans="1:11" x14ac:dyDescent="0.2">
      <c r="A364" s="194" t="s">
        <v>416</v>
      </c>
      <c r="B364" s="95"/>
      <c r="C364" s="330">
        <v>85</v>
      </c>
      <c r="D364" s="331">
        <f t="shared" si="15"/>
        <v>0</v>
      </c>
      <c r="E364" s="333">
        <v>50</v>
      </c>
      <c r="F364" s="333">
        <v>3.9</v>
      </c>
      <c r="G364" s="333">
        <v>13.2</v>
      </c>
      <c r="H364" s="331">
        <f t="shared" si="14"/>
        <v>0</v>
      </c>
      <c r="I364" s="331">
        <f t="shared" si="14"/>
        <v>0</v>
      </c>
      <c r="J364" s="331">
        <f t="shared" si="14"/>
        <v>0</v>
      </c>
      <c r="K364" s="193"/>
    </row>
    <row r="365" spans="1:11" x14ac:dyDescent="0.2">
      <c r="A365" s="194" t="s">
        <v>417</v>
      </c>
      <c r="B365" s="95"/>
      <c r="C365" s="330">
        <v>100</v>
      </c>
      <c r="D365" s="331">
        <f t="shared" si="15"/>
        <v>0</v>
      </c>
      <c r="E365" s="333">
        <v>18.2</v>
      </c>
      <c r="F365" s="333">
        <v>7.7</v>
      </c>
      <c r="G365" s="333">
        <v>18.2</v>
      </c>
      <c r="H365" s="331">
        <f t="shared" si="14"/>
        <v>0</v>
      </c>
      <c r="I365" s="331">
        <f t="shared" si="14"/>
        <v>0</v>
      </c>
      <c r="J365" s="331">
        <f t="shared" si="14"/>
        <v>0</v>
      </c>
      <c r="K365" s="193"/>
    </row>
    <row r="366" spans="1:11" x14ac:dyDescent="0.2">
      <c r="A366" s="194" t="s">
        <v>418</v>
      </c>
      <c r="B366" s="95"/>
      <c r="C366" s="330">
        <v>85</v>
      </c>
      <c r="D366" s="331">
        <f t="shared" si="15"/>
        <v>0</v>
      </c>
      <c r="E366" s="333">
        <v>14</v>
      </c>
      <c r="F366" s="333">
        <v>4.4000000000000004</v>
      </c>
      <c r="G366" s="333">
        <v>5</v>
      </c>
      <c r="H366" s="331">
        <f t="shared" si="14"/>
        <v>0</v>
      </c>
      <c r="I366" s="331">
        <f t="shared" si="14"/>
        <v>0</v>
      </c>
      <c r="J366" s="331">
        <f>$D366*G366</f>
        <v>0</v>
      </c>
      <c r="K366" s="193"/>
    </row>
    <row r="367" spans="1:11" x14ac:dyDescent="0.2">
      <c r="A367" s="194" t="s">
        <v>419</v>
      </c>
      <c r="B367" s="95"/>
      <c r="C367" s="330">
        <v>88</v>
      </c>
      <c r="D367" s="331">
        <f t="shared" si="15"/>
        <v>0</v>
      </c>
      <c r="E367" s="333">
        <v>18.799999237060547</v>
      </c>
      <c r="F367" s="333">
        <v>7.7</v>
      </c>
      <c r="G367" s="333">
        <v>18.2</v>
      </c>
      <c r="H367" s="331">
        <f>$D367*E367</f>
        <v>0</v>
      </c>
      <c r="I367" s="331">
        <f t="shared" si="14"/>
        <v>0</v>
      </c>
      <c r="J367" s="331">
        <f t="shared" si="14"/>
        <v>0</v>
      </c>
      <c r="K367" s="193"/>
    </row>
    <row r="368" spans="1:11" x14ac:dyDescent="0.2">
      <c r="A368" s="194" t="s">
        <v>420</v>
      </c>
      <c r="B368" s="95"/>
      <c r="C368" s="330">
        <v>84</v>
      </c>
      <c r="D368" s="331">
        <f>B368*C368/100</f>
        <v>0</v>
      </c>
      <c r="E368" s="333">
        <v>20.799999237060547</v>
      </c>
      <c r="F368" s="333">
        <v>4.5999999046325684</v>
      </c>
      <c r="G368" s="333">
        <v>5</v>
      </c>
      <c r="H368" s="331">
        <f t="shared" si="14"/>
        <v>0</v>
      </c>
      <c r="I368" s="331">
        <f t="shared" si="14"/>
        <v>0</v>
      </c>
      <c r="J368" s="331">
        <f t="shared" si="14"/>
        <v>0</v>
      </c>
      <c r="K368" s="193"/>
    </row>
    <row r="369" spans="1:12" x14ac:dyDescent="0.2">
      <c r="A369" s="191" t="s">
        <v>421</v>
      </c>
      <c r="B369" s="95"/>
      <c r="C369" s="330"/>
      <c r="D369" s="331">
        <f>B369*C369/100</f>
        <v>0</v>
      </c>
      <c r="E369" s="333">
        <v>20.799999237060547</v>
      </c>
      <c r="F369" s="333">
        <v>4.5999999046325684</v>
      </c>
      <c r="G369" s="333">
        <v>5</v>
      </c>
      <c r="H369" s="331">
        <f t="shared" si="14"/>
        <v>0</v>
      </c>
      <c r="I369" s="331">
        <f t="shared" si="14"/>
        <v>0</v>
      </c>
      <c r="J369" s="331">
        <f t="shared" si="14"/>
        <v>0</v>
      </c>
      <c r="K369" s="193"/>
    </row>
    <row r="370" spans="1:12" ht="13.5" thickBot="1" x14ac:dyDescent="0.25">
      <c r="A370" s="191" t="s">
        <v>197</v>
      </c>
      <c r="B370" s="95"/>
      <c r="C370" s="95"/>
      <c r="D370" s="331">
        <f t="shared" si="15"/>
        <v>0</v>
      </c>
      <c r="E370" s="95"/>
      <c r="F370" s="95"/>
      <c r="G370" s="95"/>
      <c r="H370" s="334">
        <f t="shared" si="14"/>
        <v>0</v>
      </c>
      <c r="I370" s="334">
        <f t="shared" si="14"/>
        <v>0</v>
      </c>
      <c r="J370" s="334">
        <f t="shared" si="14"/>
        <v>0</v>
      </c>
      <c r="K370" s="193"/>
    </row>
    <row r="371" spans="1:12" ht="15.75" thickBot="1" x14ac:dyDescent="0.35">
      <c r="A371" s="268"/>
      <c r="B371" s="264"/>
      <c r="C371" s="264"/>
      <c r="D371" s="264"/>
      <c r="E371" s="264"/>
      <c r="F371" s="314" t="s">
        <v>369</v>
      </c>
      <c r="G371" s="307" t="s">
        <v>199</v>
      </c>
      <c r="H371" s="315">
        <f>SUM(H347:H370)</f>
        <v>0</v>
      </c>
      <c r="I371" s="315">
        <f>SUM(I347:I370)</f>
        <v>0</v>
      </c>
      <c r="J371" s="308">
        <f>SUM(J347:J370)</f>
        <v>0</v>
      </c>
      <c r="K371" s="267"/>
    </row>
    <row r="372" spans="1:12" x14ac:dyDescent="0.2">
      <c r="A372" s="175"/>
      <c r="B372" s="175"/>
      <c r="C372" s="175"/>
      <c r="D372" s="175"/>
      <c r="E372" s="175"/>
      <c r="F372" s="175"/>
      <c r="G372" s="175"/>
      <c r="H372" s="175"/>
      <c r="I372" s="175"/>
      <c r="J372" s="175"/>
      <c r="K372" s="175"/>
      <c r="L372" s="175"/>
    </row>
    <row r="373" spans="1:12" x14ac:dyDescent="0.2">
      <c r="A373" s="175"/>
      <c r="B373" s="175"/>
      <c r="C373" s="175"/>
      <c r="D373" s="175"/>
      <c r="E373" s="175"/>
      <c r="F373" s="175"/>
      <c r="G373" s="175"/>
      <c r="H373" s="175"/>
      <c r="I373" s="175"/>
      <c r="J373" s="175"/>
      <c r="K373" s="175"/>
      <c r="L373" s="175"/>
    </row>
    <row r="374" spans="1:12" x14ac:dyDescent="0.2">
      <c r="A374" s="175"/>
      <c r="B374" s="175"/>
      <c r="C374" s="175"/>
      <c r="D374" s="175"/>
      <c r="E374" s="175"/>
      <c r="F374" s="175"/>
      <c r="G374" s="175"/>
      <c r="H374" s="175"/>
      <c r="I374" s="175"/>
      <c r="J374" s="175"/>
      <c r="K374" s="175"/>
      <c r="L374" s="175"/>
    </row>
    <row r="375" spans="1:12" x14ac:dyDescent="0.2">
      <c r="A375" s="175"/>
      <c r="B375" s="175"/>
      <c r="C375" s="175"/>
      <c r="D375" s="175"/>
      <c r="E375" s="175"/>
      <c r="F375" s="175"/>
      <c r="G375" s="175"/>
      <c r="H375" s="175"/>
      <c r="I375" s="175"/>
      <c r="J375" s="175"/>
      <c r="K375" s="175"/>
      <c r="L375" s="175"/>
    </row>
    <row r="376" spans="1:12" x14ac:dyDescent="0.2">
      <c r="A376" s="175"/>
      <c r="B376" s="175"/>
      <c r="C376" s="175"/>
      <c r="D376" s="175"/>
      <c r="E376" s="175"/>
      <c r="F376" s="175"/>
      <c r="G376" s="175"/>
      <c r="H376" s="175"/>
      <c r="I376" s="175"/>
      <c r="J376" s="175"/>
      <c r="K376" s="175"/>
      <c r="L376" s="175"/>
    </row>
    <row r="377" spans="1:12" ht="20.25" customHeight="1" x14ac:dyDescent="0.2">
      <c r="A377" s="516" t="s">
        <v>422</v>
      </c>
      <c r="B377" s="516"/>
      <c r="C377" s="516"/>
      <c r="D377" s="516"/>
      <c r="E377" s="516"/>
      <c r="F377" s="516"/>
      <c r="G377" s="516"/>
      <c r="H377" s="516"/>
      <c r="I377" s="182"/>
      <c r="K377" s="182"/>
      <c r="L377" s="182"/>
    </row>
    <row r="378" spans="1:12" x14ac:dyDescent="0.2">
      <c r="A378" s="175"/>
      <c r="B378" s="175"/>
      <c r="C378" s="175"/>
      <c r="D378" s="175"/>
      <c r="E378" s="175"/>
      <c r="F378" s="175"/>
      <c r="G378" s="175"/>
      <c r="H378" s="175"/>
      <c r="I378" s="175"/>
      <c r="K378" s="175"/>
      <c r="L378" s="175"/>
    </row>
    <row r="379" spans="1:12" x14ac:dyDescent="0.2">
      <c r="A379" s="269"/>
      <c r="B379" s="270"/>
      <c r="C379" s="271"/>
      <c r="D379" s="271"/>
      <c r="E379" s="175"/>
      <c r="F379" s="175"/>
      <c r="G379" s="175"/>
      <c r="H379" s="175"/>
      <c r="I379" s="175"/>
      <c r="K379" s="175"/>
      <c r="L379" s="175"/>
    </row>
    <row r="380" spans="1:12" ht="25.5" x14ac:dyDescent="0.2">
      <c r="A380" s="272" t="s">
        <v>423</v>
      </c>
      <c r="B380" s="236" t="s">
        <v>424</v>
      </c>
      <c r="C380" s="201" t="s">
        <v>167</v>
      </c>
      <c r="D380" s="201" t="s">
        <v>201</v>
      </c>
      <c r="E380" s="201" t="s">
        <v>202</v>
      </c>
      <c r="F380" s="226" t="s">
        <v>167</v>
      </c>
      <c r="G380" s="226" t="s">
        <v>201</v>
      </c>
      <c r="H380" s="226" t="s">
        <v>202</v>
      </c>
      <c r="I380" s="175"/>
      <c r="K380" s="175"/>
      <c r="L380" s="175"/>
    </row>
    <row r="381" spans="1:12" ht="54" x14ac:dyDescent="0.2">
      <c r="A381" s="272"/>
      <c r="B381" s="188" t="s">
        <v>425</v>
      </c>
      <c r="C381" s="273" t="s">
        <v>426</v>
      </c>
      <c r="D381" s="273" t="s">
        <v>426</v>
      </c>
      <c r="E381" s="273" t="s">
        <v>426</v>
      </c>
      <c r="F381" s="225" t="s">
        <v>279</v>
      </c>
      <c r="G381" s="225" t="s">
        <v>302</v>
      </c>
      <c r="H381" s="225" t="s">
        <v>303</v>
      </c>
      <c r="I381" s="175"/>
      <c r="K381" s="175"/>
      <c r="L381" s="175"/>
    </row>
    <row r="382" spans="1:12" x14ac:dyDescent="0.2">
      <c r="A382" s="194" t="s">
        <v>427</v>
      </c>
      <c r="B382" s="95"/>
      <c r="C382" s="305">
        <v>4.5</v>
      </c>
      <c r="D382" s="305">
        <v>0.51999998092651367</v>
      </c>
      <c r="E382" s="305">
        <v>4.96</v>
      </c>
      <c r="F382" s="335">
        <f t="shared" ref="F382:H420" si="16">$B382*C382</f>
        <v>0</v>
      </c>
      <c r="G382" s="335">
        <f t="shared" si="16"/>
        <v>0</v>
      </c>
      <c r="H382" s="335">
        <f t="shared" si="16"/>
        <v>0</v>
      </c>
      <c r="I382" s="193"/>
      <c r="K382" s="274"/>
      <c r="L382" s="260"/>
    </row>
    <row r="383" spans="1:12" ht="15.75" x14ac:dyDescent="0.25">
      <c r="A383" s="194" t="s">
        <v>428</v>
      </c>
      <c r="B383" s="95"/>
      <c r="C383" s="305">
        <v>0.80000001192092896</v>
      </c>
      <c r="D383" s="305">
        <v>0.12999999523162842</v>
      </c>
      <c r="E383" s="305">
        <v>1.07</v>
      </c>
      <c r="F383" s="335">
        <f>$B383*C383</f>
        <v>0</v>
      </c>
      <c r="G383" s="335">
        <f t="shared" si="16"/>
        <v>0</v>
      </c>
      <c r="H383" s="335">
        <f t="shared" si="16"/>
        <v>0</v>
      </c>
      <c r="I383" s="193"/>
      <c r="K383" s="274"/>
      <c r="L383" s="260"/>
    </row>
    <row r="384" spans="1:12" x14ac:dyDescent="0.2">
      <c r="A384" s="194" t="s">
        <v>429</v>
      </c>
      <c r="B384" s="95"/>
      <c r="C384" s="305">
        <v>5</v>
      </c>
      <c r="D384" s="305">
        <v>0.64999997615814209</v>
      </c>
      <c r="E384" s="305">
        <v>3.3</v>
      </c>
      <c r="F384" s="335">
        <f t="shared" si="16"/>
        <v>0</v>
      </c>
      <c r="G384" s="335">
        <f t="shared" si="16"/>
        <v>0</v>
      </c>
      <c r="H384" s="335">
        <f t="shared" si="16"/>
        <v>0</v>
      </c>
      <c r="I384" s="193"/>
      <c r="K384" s="274"/>
      <c r="L384" s="260"/>
    </row>
    <row r="385" spans="1:12" x14ac:dyDescent="0.2">
      <c r="A385" s="194" t="s">
        <v>430</v>
      </c>
      <c r="B385" s="95"/>
      <c r="C385" s="305">
        <v>6.0999999046325684</v>
      </c>
      <c r="D385" s="305">
        <v>0.97000002861022949</v>
      </c>
      <c r="E385" s="305">
        <v>5.54</v>
      </c>
      <c r="F385" s="335">
        <f t="shared" si="16"/>
        <v>0</v>
      </c>
      <c r="G385" s="335">
        <f t="shared" si="16"/>
        <v>0</v>
      </c>
      <c r="H385" s="335">
        <f t="shared" si="16"/>
        <v>0</v>
      </c>
      <c r="I385" s="193"/>
      <c r="K385" s="274"/>
      <c r="L385" s="260"/>
    </row>
    <row r="386" spans="1:12" x14ac:dyDescent="0.2">
      <c r="A386" s="194" t="s">
        <v>431</v>
      </c>
      <c r="B386" s="95"/>
      <c r="C386" s="305">
        <v>1.6</v>
      </c>
      <c r="D386" s="305">
        <v>0.43999999761581421</v>
      </c>
      <c r="E386" s="305">
        <v>2.48</v>
      </c>
      <c r="F386" s="335">
        <f t="shared" si="16"/>
        <v>0</v>
      </c>
      <c r="G386" s="335">
        <f>$B386*D386</f>
        <v>0</v>
      </c>
      <c r="H386" s="335">
        <f t="shared" si="16"/>
        <v>0</v>
      </c>
      <c r="I386" s="193"/>
      <c r="K386" s="274"/>
      <c r="L386" s="260"/>
    </row>
    <row r="387" spans="1:12" x14ac:dyDescent="0.2">
      <c r="A387" s="191" t="s">
        <v>432</v>
      </c>
      <c r="B387" s="95"/>
      <c r="C387" s="305">
        <v>1.7</v>
      </c>
      <c r="D387" s="305">
        <v>0.44</v>
      </c>
      <c r="E387" s="305">
        <v>4.55</v>
      </c>
      <c r="F387" s="335">
        <f t="shared" si="16"/>
        <v>0</v>
      </c>
      <c r="G387" s="335">
        <f t="shared" si="16"/>
        <v>0</v>
      </c>
      <c r="H387" s="335">
        <f t="shared" si="16"/>
        <v>0</v>
      </c>
      <c r="I387" s="193"/>
      <c r="K387" s="274"/>
      <c r="L387" s="260"/>
    </row>
    <row r="388" spans="1:12" x14ac:dyDescent="0.2">
      <c r="A388" s="191" t="s">
        <v>433</v>
      </c>
      <c r="B388" s="95"/>
      <c r="C388" s="305">
        <v>1.1000000000000001</v>
      </c>
      <c r="D388" s="305">
        <v>0.26</v>
      </c>
      <c r="E388" s="305">
        <v>3.3</v>
      </c>
      <c r="F388" s="335">
        <f t="shared" si="16"/>
        <v>0</v>
      </c>
      <c r="G388" s="335">
        <f t="shared" si="16"/>
        <v>0</v>
      </c>
      <c r="H388" s="335">
        <f t="shared" si="16"/>
        <v>0</v>
      </c>
      <c r="I388" s="193"/>
      <c r="K388" s="274"/>
      <c r="L388" s="260"/>
    </row>
    <row r="389" spans="1:12" x14ac:dyDescent="0.2">
      <c r="A389" s="194" t="s">
        <v>434</v>
      </c>
      <c r="B389" s="95"/>
      <c r="C389" s="305">
        <v>1.2000000476837158</v>
      </c>
      <c r="D389" s="305">
        <v>0.2199999988079071</v>
      </c>
      <c r="E389" s="305">
        <v>2.9800000190734863</v>
      </c>
      <c r="F389" s="335">
        <f t="shared" si="16"/>
        <v>0</v>
      </c>
      <c r="G389" s="335">
        <f t="shared" si="16"/>
        <v>0</v>
      </c>
      <c r="H389" s="335">
        <f t="shared" si="16"/>
        <v>0</v>
      </c>
      <c r="I389" s="193"/>
      <c r="K389" s="274"/>
      <c r="L389" s="260"/>
    </row>
    <row r="390" spans="1:12" x14ac:dyDescent="0.2">
      <c r="A390" s="194" t="s">
        <v>435</v>
      </c>
      <c r="B390" s="95"/>
      <c r="C390" s="305">
        <v>1.7999999523162842</v>
      </c>
      <c r="D390" s="305">
        <v>0.8399999737739563</v>
      </c>
      <c r="E390" s="305">
        <v>3.3</v>
      </c>
      <c r="F390" s="335">
        <f t="shared" si="16"/>
        <v>0</v>
      </c>
      <c r="G390" s="335">
        <f t="shared" si="16"/>
        <v>0</v>
      </c>
      <c r="H390" s="335">
        <f t="shared" si="16"/>
        <v>0</v>
      </c>
      <c r="I390" s="193"/>
      <c r="K390" s="274"/>
      <c r="L390" s="260"/>
    </row>
    <row r="391" spans="1:12" ht="25.5" x14ac:dyDescent="0.2">
      <c r="A391" s="194" t="s">
        <v>436</v>
      </c>
      <c r="B391" s="95"/>
      <c r="C391" s="305">
        <v>2.6</v>
      </c>
      <c r="D391" s="305">
        <v>0.6</v>
      </c>
      <c r="E391" s="305">
        <v>3.55</v>
      </c>
      <c r="F391" s="335">
        <f t="shared" si="16"/>
        <v>0</v>
      </c>
      <c r="G391" s="335">
        <f t="shared" si="16"/>
        <v>0</v>
      </c>
      <c r="H391" s="335">
        <f t="shared" si="16"/>
        <v>0</v>
      </c>
      <c r="I391" s="193"/>
      <c r="K391" s="274"/>
      <c r="L391" s="260"/>
    </row>
    <row r="392" spans="1:12" ht="28.5" x14ac:dyDescent="0.25">
      <c r="A392" s="194" t="s">
        <v>437</v>
      </c>
      <c r="B392" s="95"/>
      <c r="C392" s="305">
        <v>11.1</v>
      </c>
      <c r="D392" s="305">
        <v>1.440000057220459</v>
      </c>
      <c r="E392" s="305">
        <v>9.17</v>
      </c>
      <c r="F392" s="335">
        <f t="shared" si="16"/>
        <v>0</v>
      </c>
      <c r="G392" s="335">
        <f t="shared" si="16"/>
        <v>0</v>
      </c>
      <c r="H392" s="335">
        <f t="shared" si="16"/>
        <v>0</v>
      </c>
      <c r="I392" s="193"/>
      <c r="K392" s="274"/>
      <c r="L392" s="260"/>
    </row>
    <row r="393" spans="1:12" ht="28.5" x14ac:dyDescent="0.25">
      <c r="A393" s="194" t="s">
        <v>438</v>
      </c>
      <c r="B393" s="95"/>
      <c r="C393" s="305">
        <v>5.9</v>
      </c>
      <c r="D393" s="305">
        <v>0.79000002145767212</v>
      </c>
      <c r="E393" s="305">
        <v>4.88</v>
      </c>
      <c r="F393" s="335">
        <f t="shared" si="16"/>
        <v>0</v>
      </c>
      <c r="G393" s="335">
        <f t="shared" si="16"/>
        <v>0</v>
      </c>
      <c r="H393" s="335">
        <f t="shared" si="16"/>
        <v>0</v>
      </c>
      <c r="I393" s="193"/>
      <c r="K393" s="274"/>
      <c r="L393" s="260"/>
    </row>
    <row r="394" spans="1:12" x14ac:dyDescent="0.2">
      <c r="A394" s="194" t="s">
        <v>439</v>
      </c>
      <c r="B394" s="95"/>
      <c r="C394" s="305">
        <v>2.6</v>
      </c>
      <c r="D394" s="305">
        <v>0.6</v>
      </c>
      <c r="E394" s="305">
        <v>3.55</v>
      </c>
      <c r="F394" s="335">
        <f t="shared" si="16"/>
        <v>0</v>
      </c>
      <c r="G394" s="335">
        <f t="shared" si="16"/>
        <v>0</v>
      </c>
      <c r="H394" s="335">
        <f t="shared" si="16"/>
        <v>0</v>
      </c>
      <c r="I394" s="193"/>
      <c r="K394" s="274"/>
      <c r="L394" s="260"/>
    </row>
    <row r="395" spans="1:12" x14ac:dyDescent="0.2">
      <c r="A395" s="194" t="s">
        <v>440</v>
      </c>
      <c r="B395" s="95"/>
      <c r="C395" s="305">
        <v>2.1</v>
      </c>
      <c r="D395" s="305">
        <v>0.26</v>
      </c>
      <c r="E395" s="305">
        <v>2.4</v>
      </c>
      <c r="F395" s="335">
        <f t="shared" si="16"/>
        <v>0</v>
      </c>
      <c r="G395" s="335">
        <f t="shared" si="16"/>
        <v>0</v>
      </c>
      <c r="H395" s="335">
        <f t="shared" si="16"/>
        <v>0</v>
      </c>
      <c r="I395" s="193"/>
      <c r="K395" s="274"/>
      <c r="L395" s="260"/>
    </row>
    <row r="396" spans="1:12" x14ac:dyDescent="0.2">
      <c r="A396" s="194" t="s">
        <v>441</v>
      </c>
      <c r="B396" s="95"/>
      <c r="C396" s="305">
        <v>2.2999999523162842</v>
      </c>
      <c r="D396" s="305">
        <v>0.43999999761581421</v>
      </c>
      <c r="E396" s="305">
        <v>2.7300000190734863</v>
      </c>
      <c r="F396" s="335">
        <f t="shared" si="16"/>
        <v>0</v>
      </c>
      <c r="G396" s="335">
        <f t="shared" si="16"/>
        <v>0</v>
      </c>
      <c r="H396" s="335">
        <f t="shared" si="16"/>
        <v>0</v>
      </c>
      <c r="I396" s="193"/>
      <c r="K396" s="274"/>
      <c r="L396" s="260"/>
    </row>
    <row r="397" spans="1:12" x14ac:dyDescent="0.2">
      <c r="A397" s="194" t="s">
        <v>442</v>
      </c>
      <c r="B397" s="95"/>
      <c r="C397" s="305">
        <v>1.8346962684434338</v>
      </c>
      <c r="D397" s="305">
        <v>0.31655982431738439</v>
      </c>
      <c r="E397" s="305">
        <v>1.8135238365791029</v>
      </c>
      <c r="F397" s="335">
        <f t="shared" si="16"/>
        <v>0</v>
      </c>
      <c r="G397" s="335">
        <f t="shared" si="16"/>
        <v>0</v>
      </c>
      <c r="H397" s="335">
        <f t="shared" si="16"/>
        <v>0</v>
      </c>
      <c r="I397" s="193"/>
      <c r="K397" s="274"/>
      <c r="L397" s="260"/>
    </row>
    <row r="398" spans="1:12" x14ac:dyDescent="0.2">
      <c r="A398" s="194" t="s">
        <v>443</v>
      </c>
      <c r="B398" s="95"/>
      <c r="C398" s="305">
        <v>1.2411805555555555</v>
      </c>
      <c r="D398" s="336">
        <v>0.2245138888888889</v>
      </c>
      <c r="E398" s="305">
        <v>2.6094444444444442</v>
      </c>
      <c r="F398" s="335">
        <f t="shared" si="16"/>
        <v>0</v>
      </c>
      <c r="G398" s="335">
        <f t="shared" si="16"/>
        <v>0</v>
      </c>
      <c r="H398" s="335">
        <f t="shared" si="16"/>
        <v>0</v>
      </c>
      <c r="I398" s="193"/>
      <c r="K398" s="274"/>
      <c r="L398" s="260"/>
    </row>
    <row r="399" spans="1:12" x14ac:dyDescent="0.2">
      <c r="A399" s="194" t="s">
        <v>444</v>
      </c>
      <c r="B399" s="95"/>
      <c r="C399" s="305">
        <v>3.5999999046325684</v>
      </c>
      <c r="D399" s="305">
        <v>0.44</v>
      </c>
      <c r="E399" s="305">
        <v>5.29</v>
      </c>
      <c r="F399" s="335">
        <f t="shared" si="16"/>
        <v>0</v>
      </c>
      <c r="G399" s="335">
        <f t="shared" si="16"/>
        <v>0</v>
      </c>
      <c r="H399" s="335">
        <f t="shared" si="16"/>
        <v>0</v>
      </c>
      <c r="I399" s="193"/>
      <c r="K399" s="274"/>
      <c r="L399" s="260"/>
    </row>
    <row r="400" spans="1:12" x14ac:dyDescent="0.2">
      <c r="A400" s="194" t="s">
        <v>445</v>
      </c>
      <c r="B400" s="95"/>
      <c r="C400" s="305">
        <v>3.5999999046325684</v>
      </c>
      <c r="D400" s="305">
        <v>0.30000001192092896</v>
      </c>
      <c r="E400" s="305">
        <v>6.61</v>
      </c>
      <c r="F400" s="335">
        <f t="shared" si="16"/>
        <v>0</v>
      </c>
      <c r="G400" s="335">
        <f t="shared" si="16"/>
        <v>0</v>
      </c>
      <c r="H400" s="335">
        <f t="shared" si="16"/>
        <v>0</v>
      </c>
      <c r="I400" s="193"/>
      <c r="K400" s="274"/>
      <c r="L400" s="260"/>
    </row>
    <row r="401" spans="1:12" x14ac:dyDescent="0.2">
      <c r="A401" s="194" t="s">
        <v>446</v>
      </c>
      <c r="B401" s="95"/>
      <c r="C401" s="305">
        <v>10.800000190734863</v>
      </c>
      <c r="D401" s="305">
        <v>2.0099999999999998</v>
      </c>
      <c r="E401" s="305">
        <v>7.5999999046325684</v>
      </c>
      <c r="F401" s="335">
        <f t="shared" si="16"/>
        <v>0</v>
      </c>
      <c r="G401" s="335">
        <f t="shared" si="16"/>
        <v>0</v>
      </c>
      <c r="H401" s="335">
        <f t="shared" si="16"/>
        <v>0</v>
      </c>
      <c r="I401" s="193"/>
      <c r="K401" s="274"/>
      <c r="L401" s="260"/>
    </row>
    <row r="402" spans="1:12" ht="25.5" x14ac:dyDescent="0.2">
      <c r="A402" s="194" t="s">
        <v>447</v>
      </c>
      <c r="B402" s="95"/>
      <c r="C402" s="305">
        <v>1.2999999523162842</v>
      </c>
      <c r="D402" s="305">
        <v>0.34999999403953552</v>
      </c>
      <c r="E402" s="305">
        <v>1.7400000095367432</v>
      </c>
      <c r="F402" s="335">
        <f t="shared" si="16"/>
        <v>0</v>
      </c>
      <c r="G402" s="335">
        <f t="shared" si="16"/>
        <v>0</v>
      </c>
      <c r="H402" s="335">
        <f t="shared" si="16"/>
        <v>0</v>
      </c>
      <c r="I402" s="193"/>
      <c r="K402" s="274"/>
      <c r="L402" s="260"/>
    </row>
    <row r="403" spans="1:12" x14ac:dyDescent="0.2">
      <c r="A403" s="194" t="s">
        <v>292</v>
      </c>
      <c r="B403" s="95"/>
      <c r="C403" s="305">
        <v>2.9</v>
      </c>
      <c r="D403" s="305">
        <v>0.35</v>
      </c>
      <c r="E403" s="305">
        <v>2.4</v>
      </c>
      <c r="F403" s="335">
        <f t="shared" si="16"/>
        <v>0</v>
      </c>
      <c r="G403" s="335">
        <f t="shared" si="16"/>
        <v>0</v>
      </c>
      <c r="H403" s="335">
        <f t="shared" si="16"/>
        <v>0</v>
      </c>
      <c r="I403" s="193"/>
      <c r="K403" s="274"/>
      <c r="L403" s="260"/>
    </row>
    <row r="404" spans="1:12" x14ac:dyDescent="0.2">
      <c r="A404" s="194" t="s">
        <v>448</v>
      </c>
      <c r="B404" s="95"/>
      <c r="C404" s="305">
        <v>3</v>
      </c>
      <c r="D404" s="305">
        <v>0.44</v>
      </c>
      <c r="E404" s="305">
        <v>2.48</v>
      </c>
      <c r="F404" s="335">
        <f t="shared" si="16"/>
        <v>0</v>
      </c>
      <c r="G404" s="335">
        <f t="shared" si="16"/>
        <v>0</v>
      </c>
      <c r="H404" s="335">
        <f t="shared" si="16"/>
        <v>0</v>
      </c>
      <c r="I404" s="193"/>
      <c r="K404" s="274"/>
      <c r="L404" s="260"/>
    </row>
    <row r="405" spans="1:12" x14ac:dyDescent="0.2">
      <c r="A405" s="194" t="s">
        <v>449</v>
      </c>
      <c r="B405" s="95"/>
      <c r="C405" s="305">
        <v>33</v>
      </c>
      <c r="D405" s="305">
        <v>5.0999999999999996</v>
      </c>
      <c r="E405" s="305">
        <v>2.5</v>
      </c>
      <c r="F405" s="335">
        <f t="shared" si="16"/>
        <v>0</v>
      </c>
      <c r="G405" s="335">
        <f t="shared" si="16"/>
        <v>0</v>
      </c>
      <c r="H405" s="335">
        <f t="shared" si="16"/>
        <v>0</v>
      </c>
      <c r="I405" s="193"/>
      <c r="K405" s="274"/>
      <c r="L405" s="260"/>
    </row>
    <row r="406" spans="1:12" ht="15.75" x14ac:dyDescent="0.25">
      <c r="A406" s="194" t="s">
        <v>450</v>
      </c>
      <c r="B406" s="95"/>
      <c r="C406" s="305">
        <v>2</v>
      </c>
      <c r="D406" s="305">
        <v>0.43700000643730164</v>
      </c>
      <c r="E406" s="305">
        <v>3.64</v>
      </c>
      <c r="F406" s="335">
        <f t="shared" si="16"/>
        <v>0</v>
      </c>
      <c r="G406" s="335">
        <f t="shared" si="16"/>
        <v>0</v>
      </c>
      <c r="H406" s="335">
        <f t="shared" si="16"/>
        <v>0</v>
      </c>
      <c r="I406" s="193"/>
      <c r="K406" s="274"/>
      <c r="L406" s="260"/>
    </row>
    <row r="407" spans="1:12" x14ac:dyDescent="0.2">
      <c r="A407" s="194" t="s">
        <v>451</v>
      </c>
      <c r="B407" s="95"/>
      <c r="C407" s="305">
        <v>2.7999999523162842</v>
      </c>
      <c r="D407" s="305">
        <v>0.87</v>
      </c>
      <c r="E407" s="305">
        <v>3.97</v>
      </c>
      <c r="F407" s="335">
        <f t="shared" si="16"/>
        <v>0</v>
      </c>
      <c r="G407" s="335">
        <f t="shared" si="16"/>
        <v>0</v>
      </c>
      <c r="H407" s="335">
        <f t="shared" si="16"/>
        <v>0</v>
      </c>
      <c r="I407" s="193"/>
      <c r="K407" s="274"/>
      <c r="L407" s="260"/>
    </row>
    <row r="408" spans="1:12" x14ac:dyDescent="0.2">
      <c r="A408" s="194" t="s">
        <v>452</v>
      </c>
      <c r="B408" s="95"/>
      <c r="C408" s="305">
        <v>2.6</v>
      </c>
      <c r="D408" s="305">
        <v>0.39</v>
      </c>
      <c r="E408" s="305">
        <v>2.64</v>
      </c>
      <c r="F408" s="335">
        <f t="shared" si="16"/>
        <v>0</v>
      </c>
      <c r="G408" s="335">
        <f t="shared" si="16"/>
        <v>0</v>
      </c>
      <c r="H408" s="335">
        <f t="shared" si="16"/>
        <v>0</v>
      </c>
      <c r="I408" s="193"/>
      <c r="K408" s="274"/>
      <c r="L408" s="260"/>
    </row>
    <row r="409" spans="1:12" x14ac:dyDescent="0.2">
      <c r="A409" s="194" t="s">
        <v>453</v>
      </c>
      <c r="B409" s="95"/>
      <c r="C409" s="305">
        <v>2.2999999523162842</v>
      </c>
      <c r="D409" s="305">
        <v>0.43999999761581421</v>
      </c>
      <c r="E409" s="305">
        <v>6.86</v>
      </c>
      <c r="F409" s="335">
        <f t="shared" si="16"/>
        <v>0</v>
      </c>
      <c r="G409" s="335">
        <f t="shared" si="16"/>
        <v>0</v>
      </c>
      <c r="H409" s="335">
        <f t="shared" si="16"/>
        <v>0</v>
      </c>
      <c r="I409" s="193"/>
      <c r="K409" s="274"/>
      <c r="L409" s="260"/>
    </row>
    <row r="410" spans="1:12" x14ac:dyDescent="0.2">
      <c r="A410" s="194" t="s">
        <v>454</v>
      </c>
      <c r="B410" s="95"/>
      <c r="C410" s="305">
        <v>3.2999999523162842</v>
      </c>
      <c r="D410" s="305">
        <v>0.47999998927116394</v>
      </c>
      <c r="E410" s="305">
        <v>4.05</v>
      </c>
      <c r="F410" s="335">
        <f t="shared" si="16"/>
        <v>0</v>
      </c>
      <c r="G410" s="335">
        <f t="shared" si="16"/>
        <v>0</v>
      </c>
      <c r="H410" s="335">
        <f t="shared" si="16"/>
        <v>0</v>
      </c>
      <c r="I410" s="193"/>
      <c r="K410" s="274"/>
      <c r="L410" s="260"/>
    </row>
    <row r="411" spans="1:12" x14ac:dyDescent="0.2">
      <c r="A411" s="194" t="s">
        <v>289</v>
      </c>
      <c r="B411" s="95"/>
      <c r="C411" s="305">
        <v>10.7</v>
      </c>
      <c r="D411" s="305">
        <v>5.63</v>
      </c>
      <c r="E411" s="305">
        <v>3.55</v>
      </c>
      <c r="F411" s="335">
        <f t="shared" si="16"/>
        <v>0</v>
      </c>
      <c r="G411" s="335">
        <f t="shared" si="16"/>
        <v>0</v>
      </c>
      <c r="H411" s="335">
        <f t="shared" si="16"/>
        <v>0</v>
      </c>
      <c r="I411" s="193"/>
      <c r="K411" s="274"/>
      <c r="L411" s="260"/>
    </row>
    <row r="412" spans="1:12" ht="25.5" x14ac:dyDescent="0.2">
      <c r="A412" s="194" t="s">
        <v>455</v>
      </c>
      <c r="B412" s="95"/>
      <c r="C412" s="305">
        <v>3.2</v>
      </c>
      <c r="D412" s="305">
        <v>0.7</v>
      </c>
      <c r="E412" s="305">
        <v>4.96</v>
      </c>
      <c r="F412" s="335">
        <f t="shared" si="16"/>
        <v>0</v>
      </c>
      <c r="G412" s="335">
        <f t="shared" si="16"/>
        <v>0</v>
      </c>
      <c r="H412" s="335">
        <f t="shared" si="16"/>
        <v>0</v>
      </c>
      <c r="I412" s="193"/>
      <c r="K412" s="274"/>
      <c r="L412" s="260"/>
    </row>
    <row r="413" spans="1:12" x14ac:dyDescent="0.2">
      <c r="A413" s="191" t="s">
        <v>456</v>
      </c>
      <c r="B413" s="95"/>
      <c r="C413" s="305">
        <v>3.2</v>
      </c>
      <c r="D413" s="305">
        <v>0.7</v>
      </c>
      <c r="E413" s="305">
        <v>4.96</v>
      </c>
      <c r="F413" s="335">
        <f t="shared" si="16"/>
        <v>0</v>
      </c>
      <c r="G413" s="335">
        <f t="shared" si="16"/>
        <v>0</v>
      </c>
      <c r="H413" s="335">
        <f t="shared" si="16"/>
        <v>0</v>
      </c>
      <c r="I413" s="193"/>
      <c r="K413" s="274"/>
      <c r="L413" s="260"/>
    </row>
    <row r="414" spans="1:12" x14ac:dyDescent="0.2">
      <c r="A414" s="191" t="s">
        <v>457</v>
      </c>
      <c r="B414" s="95"/>
      <c r="C414" s="305">
        <v>1.8</v>
      </c>
      <c r="D414" s="305">
        <v>0.31</v>
      </c>
      <c r="E414" s="305">
        <v>2.64</v>
      </c>
      <c r="F414" s="335">
        <f t="shared" si="16"/>
        <v>0</v>
      </c>
      <c r="G414" s="335">
        <f t="shared" si="16"/>
        <v>0</v>
      </c>
      <c r="H414" s="335">
        <f t="shared" si="16"/>
        <v>0</v>
      </c>
      <c r="I414" s="193"/>
      <c r="K414" s="274"/>
      <c r="L414" s="260"/>
    </row>
    <row r="415" spans="1:12" ht="25.5" x14ac:dyDescent="0.2">
      <c r="A415" s="191" t="s">
        <v>458</v>
      </c>
      <c r="B415" s="95"/>
      <c r="C415" s="305">
        <v>1.6</v>
      </c>
      <c r="D415" s="305">
        <v>0.2</v>
      </c>
      <c r="E415" s="305">
        <v>2</v>
      </c>
      <c r="F415" s="335">
        <f t="shared" si="16"/>
        <v>0</v>
      </c>
      <c r="G415" s="335">
        <f t="shared" si="16"/>
        <v>0</v>
      </c>
      <c r="H415" s="335">
        <f>$B415*E415</f>
        <v>0</v>
      </c>
      <c r="I415" s="193"/>
      <c r="K415" s="274"/>
      <c r="L415" s="260"/>
    </row>
    <row r="416" spans="1:12" ht="15.75" x14ac:dyDescent="0.25">
      <c r="A416" s="191" t="s">
        <v>459</v>
      </c>
      <c r="B416" s="95"/>
      <c r="C416" s="305">
        <v>0.7</v>
      </c>
      <c r="D416" s="305">
        <v>0.12999999523162842</v>
      </c>
      <c r="E416" s="305">
        <v>1.07</v>
      </c>
      <c r="F416" s="335">
        <f t="shared" si="16"/>
        <v>0</v>
      </c>
      <c r="G416" s="335">
        <f t="shared" si="16"/>
        <v>0</v>
      </c>
      <c r="H416" s="335">
        <f t="shared" si="16"/>
        <v>0</v>
      </c>
      <c r="I416" s="193"/>
      <c r="K416" s="274"/>
      <c r="L416" s="260"/>
    </row>
    <row r="417" spans="1:12" x14ac:dyDescent="0.2">
      <c r="A417" s="191" t="s">
        <v>460</v>
      </c>
      <c r="B417" s="95"/>
      <c r="C417" s="305">
        <v>71</v>
      </c>
      <c r="D417" s="305">
        <v>9.6</v>
      </c>
      <c r="E417" s="305">
        <v>53.7</v>
      </c>
      <c r="F417" s="335">
        <f t="shared" si="16"/>
        <v>0</v>
      </c>
      <c r="G417" s="335">
        <f t="shared" si="16"/>
        <v>0</v>
      </c>
      <c r="H417" s="335">
        <f t="shared" si="16"/>
        <v>0</v>
      </c>
      <c r="I417" s="193"/>
      <c r="K417" s="274"/>
      <c r="L417" s="260"/>
    </row>
    <row r="418" spans="1:12" x14ac:dyDescent="0.2">
      <c r="A418" s="191" t="s">
        <v>461</v>
      </c>
      <c r="B418" s="95"/>
      <c r="C418" s="305">
        <v>23</v>
      </c>
      <c r="D418" s="305">
        <v>5.7</v>
      </c>
      <c r="E418" s="305">
        <v>6.6</v>
      </c>
      <c r="F418" s="335">
        <f t="shared" si="16"/>
        <v>0</v>
      </c>
      <c r="G418" s="335">
        <f t="shared" si="16"/>
        <v>0</v>
      </c>
      <c r="H418" s="335">
        <f t="shared" si="16"/>
        <v>0</v>
      </c>
      <c r="I418" s="193"/>
      <c r="K418" s="274"/>
      <c r="L418" s="260"/>
    </row>
    <row r="419" spans="1:12" x14ac:dyDescent="0.2">
      <c r="A419" s="191" t="s">
        <v>197</v>
      </c>
      <c r="B419" s="95"/>
      <c r="C419" s="95"/>
      <c r="D419" s="95"/>
      <c r="E419" s="95"/>
      <c r="F419" s="335">
        <f t="shared" si="16"/>
        <v>0</v>
      </c>
      <c r="G419" s="335">
        <f t="shared" si="16"/>
        <v>0</v>
      </c>
      <c r="H419" s="335">
        <f t="shared" si="16"/>
        <v>0</v>
      </c>
      <c r="I419" s="193"/>
      <c r="K419" s="274"/>
      <c r="L419" s="260"/>
    </row>
    <row r="420" spans="1:12" ht="13.5" thickBot="1" x14ac:dyDescent="0.25">
      <c r="A420" s="191" t="s">
        <v>197</v>
      </c>
      <c r="B420" s="95"/>
      <c r="C420" s="95"/>
      <c r="D420" s="337"/>
      <c r="E420" s="337"/>
      <c r="F420" s="338">
        <f t="shared" si="16"/>
        <v>0</v>
      </c>
      <c r="G420" s="338">
        <f t="shared" si="16"/>
        <v>0</v>
      </c>
      <c r="H420" s="338">
        <f t="shared" si="16"/>
        <v>0</v>
      </c>
      <c r="I420" s="193"/>
      <c r="K420" s="274"/>
      <c r="L420" s="260"/>
    </row>
    <row r="421" spans="1:12" ht="15.75" thickBot="1" x14ac:dyDescent="0.35">
      <c r="A421" s="270"/>
      <c r="B421" s="264"/>
      <c r="C421" s="175"/>
      <c r="D421" s="314" t="s">
        <v>369</v>
      </c>
      <c r="E421" s="307" t="s">
        <v>199</v>
      </c>
      <c r="F421" s="315">
        <f>SUM(F382:F420)</f>
        <v>0</v>
      </c>
      <c r="G421" s="315">
        <f>SUM(G382:G420)</f>
        <v>0</v>
      </c>
      <c r="H421" s="308">
        <f>SUM(H382:H420)</f>
        <v>0</v>
      </c>
      <c r="I421" s="175"/>
      <c r="J421" s="175"/>
      <c r="K421" s="175"/>
      <c r="L421" s="175"/>
    </row>
    <row r="422" spans="1:12" x14ac:dyDescent="0.2">
      <c r="A422" s="175"/>
      <c r="B422" s="175"/>
      <c r="C422" s="175"/>
      <c r="D422" s="175"/>
      <c r="E422" s="175"/>
      <c r="F422" s="175"/>
      <c r="G422" s="175"/>
      <c r="H422" s="175"/>
      <c r="I422" s="175"/>
      <c r="J422" s="175"/>
      <c r="K422" s="175"/>
      <c r="L422" s="175"/>
    </row>
    <row r="423" spans="1:12" x14ac:dyDescent="0.2">
      <c r="A423" s="175"/>
      <c r="B423" s="175"/>
      <c r="C423" s="175"/>
      <c r="D423" s="175"/>
      <c r="E423" s="175"/>
      <c r="F423" s="175"/>
      <c r="G423" s="175"/>
      <c r="H423" s="175"/>
      <c r="I423" s="175"/>
      <c r="J423" s="175"/>
      <c r="K423" s="175"/>
      <c r="L423" s="175"/>
    </row>
    <row r="424" spans="1:12" ht="20.25" customHeight="1" x14ac:dyDescent="0.2">
      <c r="A424" s="516" t="s">
        <v>462</v>
      </c>
      <c r="B424" s="516"/>
      <c r="C424" s="516"/>
      <c r="D424" s="516"/>
      <c r="E424" s="516"/>
      <c r="F424" s="516"/>
      <c r="G424" s="516"/>
      <c r="H424" s="516"/>
      <c r="I424" s="516"/>
      <c r="J424" s="182"/>
      <c r="L424" s="182"/>
    </row>
    <row r="425" spans="1:12" x14ac:dyDescent="0.2">
      <c r="A425" s="183"/>
      <c r="B425" s="175"/>
      <c r="C425" s="175"/>
      <c r="D425" s="175"/>
      <c r="E425" s="175"/>
      <c r="F425" s="175"/>
      <c r="G425" s="175"/>
      <c r="H425" s="175"/>
      <c r="I425" s="175"/>
      <c r="J425" s="175"/>
      <c r="L425" s="175"/>
    </row>
    <row r="426" spans="1:12" x14ac:dyDescent="0.2">
      <c r="A426" s="175"/>
      <c r="B426" s="175"/>
      <c r="C426" s="175"/>
      <c r="D426" s="175"/>
      <c r="E426" s="175"/>
      <c r="F426" s="175"/>
      <c r="G426" s="175"/>
      <c r="H426" s="175"/>
      <c r="I426" s="175"/>
      <c r="J426" s="175"/>
      <c r="L426" s="175"/>
    </row>
    <row r="427" spans="1:12" ht="25.5" x14ac:dyDescent="0.2">
      <c r="A427" s="530" t="s">
        <v>463</v>
      </c>
      <c r="B427" s="236" t="s">
        <v>464</v>
      </c>
      <c r="C427" s="275" t="s">
        <v>465</v>
      </c>
      <c r="D427" s="226" t="s">
        <v>167</v>
      </c>
      <c r="E427" s="201" t="s">
        <v>201</v>
      </c>
      <c r="F427" s="201" t="s">
        <v>202</v>
      </c>
      <c r="G427" s="226" t="s">
        <v>167</v>
      </c>
      <c r="H427" s="226" t="s">
        <v>201</v>
      </c>
      <c r="I427" s="226" t="s">
        <v>202</v>
      </c>
      <c r="J427" s="175"/>
      <c r="L427" s="175"/>
    </row>
    <row r="428" spans="1:12" x14ac:dyDescent="0.2">
      <c r="A428" s="530"/>
      <c r="B428" s="276" t="s">
        <v>466</v>
      </c>
      <c r="C428" s="276" t="s">
        <v>467</v>
      </c>
      <c r="D428" s="225" t="s">
        <v>468</v>
      </c>
      <c r="E428" s="225" t="s">
        <v>468</v>
      </c>
      <c r="F428" s="225" t="s">
        <v>468</v>
      </c>
      <c r="G428" s="225" t="s">
        <v>279</v>
      </c>
      <c r="H428" s="225" t="s">
        <v>302</v>
      </c>
      <c r="I428" s="225" t="s">
        <v>303</v>
      </c>
      <c r="J428" s="175"/>
      <c r="L428" s="175"/>
    </row>
    <row r="429" spans="1:12" x14ac:dyDescent="0.2">
      <c r="A429" s="277" t="s">
        <v>469</v>
      </c>
      <c r="B429" s="95"/>
      <c r="C429" s="95"/>
      <c r="D429" s="339">
        <f>C429/6.06</f>
        <v>0</v>
      </c>
      <c r="E429" s="340">
        <v>0.92</v>
      </c>
      <c r="F429" s="201">
        <v>1.5</v>
      </c>
      <c r="G429" s="210">
        <f>D429*$B429/1000</f>
        <v>0</v>
      </c>
      <c r="H429" s="210">
        <f t="shared" ref="G429:I433" si="17">E429*$B429/1000</f>
        <v>0</v>
      </c>
      <c r="I429" s="210">
        <f t="shared" si="17"/>
        <v>0</v>
      </c>
      <c r="J429" s="175"/>
      <c r="L429" s="175"/>
    </row>
    <row r="430" spans="1:12" x14ac:dyDescent="0.2">
      <c r="A430" s="278" t="s">
        <v>380</v>
      </c>
      <c r="B430" s="95"/>
      <c r="C430" s="95"/>
      <c r="D430" s="339">
        <f>C430/6.06</f>
        <v>0</v>
      </c>
      <c r="E430" s="340">
        <v>1.5</v>
      </c>
      <c r="F430" s="201">
        <v>1.4</v>
      </c>
      <c r="G430" s="210">
        <f t="shared" si="17"/>
        <v>0</v>
      </c>
      <c r="H430" s="210">
        <f>E430*$B430/1000</f>
        <v>0</v>
      </c>
      <c r="I430" s="210">
        <f t="shared" si="17"/>
        <v>0</v>
      </c>
      <c r="J430" s="175"/>
      <c r="L430" s="175"/>
    </row>
    <row r="431" spans="1:12" x14ac:dyDescent="0.2">
      <c r="A431" s="278" t="s">
        <v>470</v>
      </c>
      <c r="B431" s="95"/>
      <c r="C431" s="95"/>
      <c r="D431" s="339">
        <f>C431/5.74</f>
        <v>0</v>
      </c>
      <c r="E431" s="201">
        <v>0.97</v>
      </c>
      <c r="F431" s="201">
        <v>1.9</v>
      </c>
      <c r="G431" s="210">
        <f t="shared" si="17"/>
        <v>0</v>
      </c>
      <c r="H431" s="210">
        <f t="shared" si="17"/>
        <v>0</v>
      </c>
      <c r="I431" s="210">
        <f t="shared" si="17"/>
        <v>0</v>
      </c>
      <c r="J431" s="175"/>
      <c r="L431" s="175"/>
    </row>
    <row r="432" spans="1:12" x14ac:dyDescent="0.2">
      <c r="A432" s="278"/>
      <c r="B432" s="95"/>
      <c r="C432" s="95"/>
      <c r="D432" s="339">
        <f>C432/5.74</f>
        <v>0</v>
      </c>
      <c r="E432" s="95"/>
      <c r="F432" s="95"/>
      <c r="G432" s="210">
        <f>D432*$B432/1000</f>
        <v>0</v>
      </c>
      <c r="H432" s="210">
        <f>E432*$B432/1000</f>
        <v>0</v>
      </c>
      <c r="I432" s="210">
        <f>F432*$B432/1000</f>
        <v>0</v>
      </c>
      <c r="J432" s="175"/>
      <c r="L432" s="175"/>
    </row>
    <row r="433" spans="1:12" x14ac:dyDescent="0.2">
      <c r="A433" s="278" t="s">
        <v>197</v>
      </c>
      <c r="B433" s="95"/>
      <c r="C433" s="95"/>
      <c r="D433" s="339">
        <f>C433/5.74</f>
        <v>0</v>
      </c>
      <c r="E433" s="95"/>
      <c r="F433" s="95"/>
      <c r="G433" s="210">
        <f t="shared" si="17"/>
        <v>0</v>
      </c>
      <c r="H433" s="210">
        <f>E433*$B433/1000</f>
        <v>0</v>
      </c>
      <c r="I433" s="210">
        <f t="shared" si="17"/>
        <v>0</v>
      </c>
      <c r="J433" s="175"/>
      <c r="L433" s="175"/>
    </row>
    <row r="434" spans="1:12" x14ac:dyDescent="0.2">
      <c r="A434" s="175"/>
      <c r="B434" s="175"/>
      <c r="C434" s="175"/>
      <c r="D434" s="181"/>
      <c r="E434" s="199" t="s">
        <v>369</v>
      </c>
      <c r="F434" s="200" t="s">
        <v>199</v>
      </c>
      <c r="G434" s="223">
        <f>SUM(G429:G433)</f>
        <v>0</v>
      </c>
      <c r="H434" s="223">
        <f>SUM(H429:H433)</f>
        <v>0</v>
      </c>
      <c r="I434" s="223">
        <f>SUM(I429:I433)</f>
        <v>0</v>
      </c>
      <c r="J434" s="175"/>
      <c r="L434" s="175"/>
    </row>
    <row r="435" spans="1:12" x14ac:dyDescent="0.2">
      <c r="A435" s="279"/>
      <c r="B435" s="279"/>
      <c r="C435" s="175"/>
      <c r="D435" s="181"/>
      <c r="E435" s="181"/>
      <c r="F435" s="175"/>
      <c r="G435" s="175"/>
      <c r="H435" s="175"/>
      <c r="I435" s="175"/>
      <c r="J435" s="175"/>
      <c r="L435" s="175"/>
    </row>
    <row r="436" spans="1:12" ht="25.5" x14ac:dyDescent="0.2">
      <c r="A436" s="530" t="s">
        <v>471</v>
      </c>
      <c r="B436" s="236" t="s">
        <v>472</v>
      </c>
      <c r="C436" s="426" t="s">
        <v>473</v>
      </c>
      <c r="D436" s="201" t="s">
        <v>167</v>
      </c>
      <c r="E436" s="201" t="s">
        <v>201</v>
      </c>
      <c r="F436" s="201" t="s">
        <v>202</v>
      </c>
      <c r="G436" s="226" t="s">
        <v>167</v>
      </c>
      <c r="H436" s="226" t="s">
        <v>201</v>
      </c>
      <c r="I436" s="226" t="s">
        <v>202</v>
      </c>
      <c r="J436" s="175"/>
      <c r="L436" s="175"/>
    </row>
    <row r="437" spans="1:12" ht="25.5" x14ac:dyDescent="0.2">
      <c r="A437" s="530"/>
      <c r="B437" s="276" t="s">
        <v>474</v>
      </c>
      <c r="C437" s="246" t="s">
        <v>199</v>
      </c>
      <c r="D437" s="246" t="s">
        <v>375</v>
      </c>
      <c r="E437" s="246" t="s">
        <v>376</v>
      </c>
      <c r="F437" s="246" t="s">
        <v>377</v>
      </c>
      <c r="G437" s="225" t="s">
        <v>279</v>
      </c>
      <c r="H437" s="225" t="s">
        <v>302</v>
      </c>
      <c r="I437" s="225" t="s">
        <v>303</v>
      </c>
      <c r="J437" s="175"/>
      <c r="L437" s="175"/>
    </row>
    <row r="438" spans="1:12" x14ac:dyDescent="0.2">
      <c r="A438" s="248" t="s">
        <v>387</v>
      </c>
      <c r="B438" s="329"/>
      <c r="C438" s="327">
        <v>7.5000002980232239E-2</v>
      </c>
      <c r="D438" s="310">
        <v>21.299999237060547</v>
      </c>
      <c r="E438" s="310">
        <v>2</v>
      </c>
      <c r="F438" s="310">
        <v>1.2</v>
      </c>
      <c r="G438" s="325">
        <f>($B438*$C438)/1000*D438</f>
        <v>0</v>
      </c>
      <c r="H438" s="325">
        <f>($B438*$C438)/1000*E438</f>
        <v>0</v>
      </c>
      <c r="I438" s="325">
        <f t="shared" ref="G438:I443" si="18">($B438*$C438)/1000*F438</f>
        <v>0</v>
      </c>
      <c r="J438" s="249"/>
      <c r="L438" s="250"/>
    </row>
    <row r="439" spans="1:12" x14ac:dyDescent="0.2">
      <c r="A439" s="248" t="s">
        <v>388</v>
      </c>
      <c r="B439" s="329"/>
      <c r="C439" s="327">
        <v>7.5000002980232239E-2</v>
      </c>
      <c r="D439" s="310">
        <v>21</v>
      </c>
      <c r="E439" s="310">
        <v>2</v>
      </c>
      <c r="F439" s="310">
        <v>1.2</v>
      </c>
      <c r="G439" s="325">
        <f t="shared" si="18"/>
        <v>0</v>
      </c>
      <c r="H439" s="325">
        <f t="shared" si="18"/>
        <v>0</v>
      </c>
      <c r="I439" s="325">
        <f t="shared" si="18"/>
        <v>0</v>
      </c>
      <c r="J439" s="249"/>
      <c r="L439" s="250"/>
    </row>
    <row r="440" spans="1:12" x14ac:dyDescent="0.2">
      <c r="A440" s="248" t="s">
        <v>389</v>
      </c>
      <c r="B440" s="329"/>
      <c r="C440" s="327">
        <v>5.9999998658895493E-2</v>
      </c>
      <c r="D440" s="310">
        <v>19.200000762939453</v>
      </c>
      <c r="E440" s="310">
        <v>2</v>
      </c>
      <c r="F440" s="310">
        <v>1.2</v>
      </c>
      <c r="G440" s="325">
        <f t="shared" si="18"/>
        <v>0</v>
      </c>
      <c r="H440" s="325">
        <f t="shared" si="18"/>
        <v>0</v>
      </c>
      <c r="I440" s="325">
        <f t="shared" si="18"/>
        <v>0</v>
      </c>
      <c r="J440" s="249"/>
      <c r="L440" s="250"/>
    </row>
    <row r="441" spans="1:12" x14ac:dyDescent="0.2">
      <c r="A441" s="248" t="s">
        <v>390</v>
      </c>
      <c r="B441" s="329"/>
      <c r="C441" s="327">
        <v>0.10000000149011612</v>
      </c>
      <c r="D441" s="310">
        <v>22.200000762939453</v>
      </c>
      <c r="E441" s="310">
        <v>2</v>
      </c>
      <c r="F441" s="310">
        <v>1.2</v>
      </c>
      <c r="G441" s="325">
        <f t="shared" si="18"/>
        <v>0</v>
      </c>
      <c r="H441" s="325">
        <f t="shared" si="18"/>
        <v>0</v>
      </c>
      <c r="I441" s="325">
        <f>($B441*$C441)/1000*F441</f>
        <v>0</v>
      </c>
      <c r="J441" s="249"/>
      <c r="L441" s="250"/>
    </row>
    <row r="442" spans="1:12" x14ac:dyDescent="0.2">
      <c r="A442" s="251" t="s">
        <v>197</v>
      </c>
      <c r="B442" s="329"/>
      <c r="C442" s="329"/>
      <c r="D442" s="329"/>
      <c r="E442" s="329"/>
      <c r="F442" s="329"/>
      <c r="G442" s="325">
        <f t="shared" si="18"/>
        <v>0</v>
      </c>
      <c r="H442" s="325">
        <f t="shared" si="18"/>
        <v>0</v>
      </c>
      <c r="I442" s="325">
        <f t="shared" si="18"/>
        <v>0</v>
      </c>
      <c r="J442" s="249"/>
      <c r="L442" s="250"/>
    </row>
    <row r="443" spans="1:12" x14ac:dyDescent="0.2">
      <c r="A443" s="251" t="s">
        <v>197</v>
      </c>
      <c r="B443" s="329"/>
      <c r="C443" s="329"/>
      <c r="D443" s="329"/>
      <c r="E443" s="329"/>
      <c r="F443" s="329"/>
      <c r="G443" s="325">
        <f>($B443*$C443)/1000*D443</f>
        <v>0</v>
      </c>
      <c r="H443" s="325">
        <f t="shared" si="18"/>
        <v>0</v>
      </c>
      <c r="I443" s="325">
        <f t="shared" si="18"/>
        <v>0</v>
      </c>
      <c r="J443" s="249"/>
      <c r="L443" s="250"/>
    </row>
    <row r="444" spans="1:12" x14ac:dyDescent="0.2">
      <c r="A444" s="279"/>
      <c r="B444" s="279"/>
      <c r="C444" s="175"/>
      <c r="D444" s="181"/>
      <c r="E444" s="199" t="s">
        <v>369</v>
      </c>
      <c r="F444" s="200" t="s">
        <v>199</v>
      </c>
      <c r="G444" s="223">
        <f>SUM(G438:G443)</f>
        <v>0</v>
      </c>
      <c r="H444" s="223">
        <f>SUM(H438:H443)</f>
        <v>0</v>
      </c>
      <c r="I444" s="223">
        <f>SUM(I438:I443)</f>
        <v>0</v>
      </c>
      <c r="J444" s="175"/>
      <c r="K444" s="175"/>
      <c r="L444" s="175"/>
    </row>
    <row r="445" spans="1:12" x14ac:dyDescent="0.2">
      <c r="A445" s="279"/>
      <c r="B445" s="279"/>
      <c r="C445" s="175"/>
      <c r="D445" s="181"/>
      <c r="E445" s="181"/>
      <c r="F445" s="175"/>
      <c r="G445" s="175"/>
      <c r="H445" s="175"/>
      <c r="I445" s="175"/>
      <c r="J445" s="175"/>
      <c r="K445" s="175"/>
      <c r="L445" s="175"/>
    </row>
    <row r="446" spans="1:12" ht="13.5" thickBot="1" x14ac:dyDescent="0.25">
      <c r="A446" s="279"/>
      <c r="B446" s="279"/>
      <c r="C446" s="175"/>
      <c r="D446" s="181"/>
      <c r="E446" s="175"/>
      <c r="F446" s="175"/>
      <c r="G446" s="341" t="s">
        <v>279</v>
      </c>
      <c r="H446" s="341" t="s">
        <v>302</v>
      </c>
      <c r="I446" s="341" t="s">
        <v>303</v>
      </c>
      <c r="J446" s="175"/>
      <c r="K446" s="175"/>
      <c r="L446" s="175"/>
    </row>
    <row r="447" spans="1:12" ht="13.5" thickBot="1" x14ac:dyDescent="0.25">
      <c r="A447" s="279"/>
      <c r="B447" s="279"/>
      <c r="C447" s="175"/>
      <c r="D447" s="181"/>
      <c r="E447" s="342" t="s">
        <v>475</v>
      </c>
      <c r="F447" s="307" t="s">
        <v>199</v>
      </c>
      <c r="G447" s="315">
        <f>G434+G444</f>
        <v>0</v>
      </c>
      <c r="H447" s="315">
        <f>H434+H444</f>
        <v>0</v>
      </c>
      <c r="I447" s="308">
        <f>I434+I444</f>
        <v>0</v>
      </c>
      <c r="J447" s="175"/>
      <c r="K447" s="175"/>
      <c r="L447" s="175"/>
    </row>
    <row r="448" spans="1:12" x14ac:dyDescent="0.2">
      <c r="A448" s="279"/>
      <c r="B448" s="279"/>
      <c r="C448" s="175"/>
      <c r="D448" s="181"/>
      <c r="E448" s="181"/>
      <c r="F448" s="175"/>
      <c r="G448" s="175"/>
      <c r="H448" s="175"/>
      <c r="I448" s="175"/>
      <c r="J448" s="175"/>
      <c r="K448" s="175"/>
      <c r="L448" s="175"/>
    </row>
    <row r="449" spans="1:12" x14ac:dyDescent="0.2">
      <c r="A449" s="175"/>
      <c r="B449" s="175"/>
      <c r="C449" s="175"/>
      <c r="D449" s="175"/>
      <c r="E449" s="175"/>
      <c r="F449" s="175"/>
      <c r="G449" s="175"/>
      <c r="H449" s="175"/>
      <c r="I449" s="175"/>
      <c r="J449" s="175"/>
      <c r="K449" s="175"/>
      <c r="L449" s="175"/>
    </row>
    <row r="450" spans="1:12" ht="20.25" customHeight="1" x14ac:dyDescent="0.2">
      <c r="A450" s="516" t="s">
        <v>476</v>
      </c>
      <c r="B450" s="516"/>
      <c r="C450" s="516"/>
      <c r="D450" s="516"/>
      <c r="E450" s="516"/>
      <c r="F450" s="516"/>
      <c r="G450" s="516"/>
      <c r="H450" s="516"/>
      <c r="I450" s="516"/>
      <c r="J450" s="516"/>
      <c r="K450" s="516"/>
      <c r="L450" s="516"/>
    </row>
    <row r="451" spans="1:12" x14ac:dyDescent="0.2">
      <c r="A451" s="175"/>
      <c r="B451" s="175"/>
      <c r="C451" s="175"/>
      <c r="D451" s="175"/>
      <c r="E451" s="175"/>
      <c r="F451" s="175"/>
      <c r="G451" s="175"/>
      <c r="H451" s="175"/>
      <c r="I451" s="175"/>
      <c r="J451" s="175"/>
      <c r="K451" s="175"/>
      <c r="L451" s="175"/>
    </row>
    <row r="452" spans="1:12" x14ac:dyDescent="0.2">
      <c r="A452" s="175"/>
      <c r="B452" s="175"/>
      <c r="C452" s="175"/>
      <c r="D452" s="175"/>
      <c r="E452" s="175"/>
      <c r="F452" s="175"/>
      <c r="G452" s="175"/>
      <c r="H452" s="175"/>
      <c r="I452" s="175"/>
      <c r="J452" s="175"/>
      <c r="K452" s="175"/>
      <c r="L452" s="175"/>
    </row>
    <row r="453" spans="1:12" ht="70.5" x14ac:dyDescent="0.2">
      <c r="A453" s="272" t="s">
        <v>477</v>
      </c>
      <c r="B453" s="245" t="s">
        <v>478</v>
      </c>
      <c r="C453" s="428" t="s">
        <v>479</v>
      </c>
      <c r="D453" s="426" t="s">
        <v>637</v>
      </c>
      <c r="E453" s="426" t="s">
        <v>638</v>
      </c>
      <c r="F453" s="427" t="s">
        <v>473</v>
      </c>
      <c r="G453" s="201" t="s">
        <v>167</v>
      </c>
      <c r="H453" s="201" t="s">
        <v>201</v>
      </c>
      <c r="I453" s="201" t="s">
        <v>202</v>
      </c>
      <c r="J453" s="226" t="s">
        <v>167</v>
      </c>
      <c r="K453" s="226" t="s">
        <v>201</v>
      </c>
      <c r="L453" s="226" t="s">
        <v>202</v>
      </c>
    </row>
    <row r="454" spans="1:12" ht="25.5" x14ac:dyDescent="0.2">
      <c r="A454" s="272"/>
      <c r="B454" s="246" t="s">
        <v>480</v>
      </c>
      <c r="C454" s="246" t="s">
        <v>481</v>
      </c>
      <c r="D454" s="246" t="s">
        <v>199</v>
      </c>
      <c r="E454" s="246" t="s">
        <v>271</v>
      </c>
      <c r="F454" s="246" t="s">
        <v>199</v>
      </c>
      <c r="G454" s="246" t="s">
        <v>375</v>
      </c>
      <c r="H454" s="246" t="s">
        <v>376</v>
      </c>
      <c r="I454" s="246" t="s">
        <v>377</v>
      </c>
      <c r="J454" s="225" t="s">
        <v>279</v>
      </c>
      <c r="K454" s="225" t="s">
        <v>302</v>
      </c>
      <c r="L454" s="225" t="s">
        <v>303</v>
      </c>
    </row>
    <row r="455" spans="1:12" x14ac:dyDescent="0.2">
      <c r="A455" s="248" t="s">
        <v>378</v>
      </c>
      <c r="B455" s="343"/>
      <c r="C455" s="343"/>
      <c r="D455" s="309">
        <v>15</v>
      </c>
      <c r="E455" s="309">
        <v>40</v>
      </c>
      <c r="F455" s="335">
        <f>IF(C455&gt;0, IF(E455&gt;0,C455/E455*100,D455),D455)</f>
        <v>15</v>
      </c>
      <c r="G455" s="310">
        <v>28.5</v>
      </c>
      <c r="H455" s="310">
        <v>6.0999999046325684</v>
      </c>
      <c r="I455" s="310">
        <v>1.7999999523162842</v>
      </c>
      <c r="J455" s="210">
        <f>$B455*$F455*G455/1000</f>
        <v>0</v>
      </c>
      <c r="K455" s="210">
        <f t="shared" ref="J455:L490" si="19">$B455*$F455*H455/1000</f>
        <v>0</v>
      </c>
      <c r="L455" s="210">
        <f t="shared" si="19"/>
        <v>0</v>
      </c>
    </row>
    <row r="456" spans="1:12" x14ac:dyDescent="0.2">
      <c r="A456" s="248" t="s">
        <v>482</v>
      </c>
      <c r="B456" s="343"/>
      <c r="C456" s="343"/>
      <c r="D456" s="309">
        <v>700</v>
      </c>
      <c r="E456" s="309">
        <v>54</v>
      </c>
      <c r="F456" s="335">
        <f t="shared" ref="F456:F490" si="20">IF(C456&gt;0, IF(E456&gt;0,C456/E456*100,D456),D456)</f>
        <v>700</v>
      </c>
      <c r="G456" s="310">
        <v>24</v>
      </c>
      <c r="H456" s="310">
        <v>7</v>
      </c>
      <c r="I456" s="310">
        <v>4.0999999046325684</v>
      </c>
      <c r="J456" s="210">
        <f t="shared" si="19"/>
        <v>0</v>
      </c>
      <c r="K456" s="210">
        <f t="shared" si="19"/>
        <v>0</v>
      </c>
      <c r="L456" s="210">
        <f t="shared" si="19"/>
        <v>0</v>
      </c>
    </row>
    <row r="457" spans="1:12" x14ac:dyDescent="0.2">
      <c r="A457" s="248" t="s">
        <v>483</v>
      </c>
      <c r="B457" s="343"/>
      <c r="C457" s="343"/>
      <c r="D457" s="309">
        <v>680</v>
      </c>
      <c r="E457" s="309">
        <v>50</v>
      </c>
      <c r="F457" s="335">
        <f t="shared" si="20"/>
        <v>680</v>
      </c>
      <c r="G457" s="310">
        <v>24</v>
      </c>
      <c r="H457" s="310">
        <v>7</v>
      </c>
      <c r="I457" s="310">
        <v>4.0999999046325684</v>
      </c>
      <c r="J457" s="210">
        <f t="shared" si="19"/>
        <v>0</v>
      </c>
      <c r="K457" s="210">
        <f t="shared" si="19"/>
        <v>0</v>
      </c>
      <c r="L457" s="210">
        <f t="shared" si="19"/>
        <v>0</v>
      </c>
    </row>
    <row r="458" spans="1:12" x14ac:dyDescent="0.2">
      <c r="A458" s="248" t="s">
        <v>484</v>
      </c>
      <c r="B458" s="343"/>
      <c r="C458" s="343"/>
      <c r="D458" s="309">
        <v>100</v>
      </c>
      <c r="E458" s="309">
        <v>0</v>
      </c>
      <c r="F458" s="335">
        <f t="shared" si="20"/>
        <v>100</v>
      </c>
      <c r="G458" s="310">
        <v>28.5</v>
      </c>
      <c r="H458" s="310">
        <v>6.0999999046325684</v>
      </c>
      <c r="I458" s="310">
        <v>1.7999999523162842</v>
      </c>
      <c r="J458" s="210">
        <f t="shared" si="19"/>
        <v>0</v>
      </c>
      <c r="K458" s="210">
        <f t="shared" si="19"/>
        <v>0</v>
      </c>
      <c r="L458" s="210">
        <f t="shared" si="19"/>
        <v>0</v>
      </c>
    </row>
    <row r="459" spans="1:12" x14ac:dyDescent="0.2">
      <c r="A459" s="248" t="s">
        <v>381</v>
      </c>
      <c r="B459" s="343"/>
      <c r="C459" s="343"/>
      <c r="D459" s="309">
        <v>380</v>
      </c>
      <c r="E459" s="309">
        <v>56</v>
      </c>
      <c r="F459" s="335">
        <f t="shared" si="20"/>
        <v>380</v>
      </c>
      <c r="G459" s="310">
        <v>24</v>
      </c>
      <c r="H459" s="310">
        <v>7</v>
      </c>
      <c r="I459" s="310">
        <v>4.0999999046325684</v>
      </c>
      <c r="J459" s="210">
        <f t="shared" si="19"/>
        <v>0</v>
      </c>
      <c r="K459" s="210">
        <f t="shared" si="19"/>
        <v>0</v>
      </c>
      <c r="L459" s="210">
        <f t="shared" si="19"/>
        <v>0</v>
      </c>
    </row>
    <row r="460" spans="1:12" x14ac:dyDescent="0.2">
      <c r="A460" s="248" t="s">
        <v>485</v>
      </c>
      <c r="B460" s="343"/>
      <c r="C460" s="343"/>
      <c r="D460" s="309">
        <v>0.06</v>
      </c>
      <c r="E460" s="309">
        <v>0</v>
      </c>
      <c r="F460" s="335">
        <f t="shared" si="20"/>
        <v>0.06</v>
      </c>
      <c r="G460" s="310">
        <v>40.599998474121094</v>
      </c>
      <c r="H460" s="310">
        <v>6.8000001907348633</v>
      </c>
      <c r="I460" s="310">
        <v>2.0999999046325684</v>
      </c>
      <c r="J460" s="210">
        <f t="shared" si="19"/>
        <v>0</v>
      </c>
      <c r="K460" s="210">
        <f t="shared" si="19"/>
        <v>0</v>
      </c>
      <c r="L460" s="210">
        <f t="shared" si="19"/>
        <v>0</v>
      </c>
    </row>
    <row r="461" spans="1:12" x14ac:dyDescent="0.2">
      <c r="A461" s="248" t="s">
        <v>486</v>
      </c>
      <c r="B461" s="343"/>
      <c r="C461" s="343"/>
      <c r="D461" s="309">
        <v>3.8</v>
      </c>
      <c r="E461" s="309">
        <v>0</v>
      </c>
      <c r="F461" s="335">
        <f t="shared" si="20"/>
        <v>3.8</v>
      </c>
      <c r="G461" s="310">
        <v>30.5</v>
      </c>
      <c r="H461" s="310">
        <v>5.6999998092651367</v>
      </c>
      <c r="I461" s="310">
        <v>2.2999999523162842</v>
      </c>
      <c r="J461" s="210">
        <f t="shared" si="19"/>
        <v>0</v>
      </c>
      <c r="K461" s="210">
        <f t="shared" si="19"/>
        <v>0</v>
      </c>
      <c r="L461" s="210">
        <f t="shared" si="19"/>
        <v>0</v>
      </c>
    </row>
    <row r="462" spans="1:12" x14ac:dyDescent="0.2">
      <c r="A462" s="248" t="s">
        <v>487</v>
      </c>
      <c r="B462" s="343"/>
      <c r="C462" s="343"/>
      <c r="D462" s="309">
        <v>300</v>
      </c>
      <c r="E462" s="309">
        <v>54</v>
      </c>
      <c r="F462" s="335">
        <f t="shared" si="20"/>
        <v>300</v>
      </c>
      <c r="G462" s="310">
        <v>26</v>
      </c>
      <c r="H462" s="310">
        <v>6.0999999046325684</v>
      </c>
      <c r="I462" s="310">
        <v>1.7999999523162842</v>
      </c>
      <c r="J462" s="210">
        <f t="shared" si="19"/>
        <v>0</v>
      </c>
      <c r="K462" s="210">
        <f t="shared" si="19"/>
        <v>0</v>
      </c>
      <c r="L462" s="210">
        <f t="shared" si="19"/>
        <v>0</v>
      </c>
    </row>
    <row r="463" spans="1:12" x14ac:dyDescent="0.2">
      <c r="A463" s="248" t="s">
        <v>383</v>
      </c>
      <c r="B463" s="343"/>
      <c r="C463" s="343"/>
      <c r="D463" s="309">
        <v>700</v>
      </c>
      <c r="E463" s="309">
        <v>0</v>
      </c>
      <c r="F463" s="335">
        <f t="shared" si="20"/>
        <v>700</v>
      </c>
      <c r="G463" s="310">
        <v>24</v>
      </c>
      <c r="H463" s="310">
        <v>7</v>
      </c>
      <c r="I463" s="310">
        <v>4.0999999046325684</v>
      </c>
      <c r="J463" s="210">
        <f t="shared" si="19"/>
        <v>0</v>
      </c>
      <c r="K463" s="210">
        <f t="shared" si="19"/>
        <v>0</v>
      </c>
      <c r="L463" s="210">
        <f t="shared" si="19"/>
        <v>0</v>
      </c>
    </row>
    <row r="464" spans="1:12" x14ac:dyDescent="0.2">
      <c r="A464" s="248" t="s">
        <v>470</v>
      </c>
      <c r="B464" s="343"/>
      <c r="C464" s="343"/>
      <c r="D464" s="309">
        <v>60</v>
      </c>
      <c r="E464" s="309">
        <v>0</v>
      </c>
      <c r="F464" s="335">
        <f t="shared" si="20"/>
        <v>60</v>
      </c>
      <c r="G464" s="310">
        <v>22</v>
      </c>
      <c r="H464" s="310">
        <v>6.0999999046325684</v>
      </c>
      <c r="I464" s="310">
        <v>1.7999999523162842</v>
      </c>
      <c r="J464" s="210">
        <f t="shared" si="19"/>
        <v>0</v>
      </c>
      <c r="K464" s="210">
        <f t="shared" si="19"/>
        <v>0</v>
      </c>
      <c r="L464" s="210">
        <f t="shared" si="19"/>
        <v>0</v>
      </c>
    </row>
    <row r="465" spans="1:12" x14ac:dyDescent="0.2">
      <c r="A465" s="248" t="s">
        <v>488</v>
      </c>
      <c r="B465" s="343"/>
      <c r="C465" s="343"/>
      <c r="D465" s="309">
        <v>12</v>
      </c>
      <c r="E465" s="309">
        <v>0</v>
      </c>
      <c r="F465" s="335">
        <f t="shared" si="20"/>
        <v>12</v>
      </c>
      <c r="G465" s="310">
        <v>30.5</v>
      </c>
      <c r="H465" s="310">
        <v>6.0999999046325684</v>
      </c>
      <c r="I465" s="310">
        <v>1.7999999523162842</v>
      </c>
      <c r="J465" s="210">
        <f t="shared" si="19"/>
        <v>0</v>
      </c>
      <c r="K465" s="210">
        <f t="shared" si="19"/>
        <v>0</v>
      </c>
      <c r="L465" s="210">
        <f t="shared" si="19"/>
        <v>0</v>
      </c>
    </row>
    <row r="466" spans="1:12" x14ac:dyDescent="0.2">
      <c r="A466" s="248" t="s">
        <v>384</v>
      </c>
      <c r="B466" s="343"/>
      <c r="C466" s="343"/>
      <c r="D466" s="309">
        <v>100</v>
      </c>
      <c r="E466" s="309">
        <v>0</v>
      </c>
      <c r="F466" s="335">
        <f t="shared" si="20"/>
        <v>100</v>
      </c>
      <c r="G466" s="310">
        <v>24</v>
      </c>
      <c r="H466" s="310">
        <v>4.4000000953674316</v>
      </c>
      <c r="I466" s="310">
        <v>4.0999999046325684</v>
      </c>
      <c r="J466" s="210">
        <f t="shared" si="19"/>
        <v>0</v>
      </c>
      <c r="K466" s="210">
        <f t="shared" si="19"/>
        <v>0</v>
      </c>
      <c r="L466" s="210">
        <f t="shared" si="19"/>
        <v>0</v>
      </c>
    </row>
    <row r="467" spans="1:12" x14ac:dyDescent="0.2">
      <c r="A467" s="248" t="s">
        <v>489</v>
      </c>
      <c r="B467" s="343"/>
      <c r="C467" s="343"/>
      <c r="D467" s="309">
        <v>7.4</v>
      </c>
      <c r="E467" s="309">
        <v>0</v>
      </c>
      <c r="F467" s="335">
        <f t="shared" si="20"/>
        <v>7.4</v>
      </c>
      <c r="G467" s="310">
        <v>37.599998474121094</v>
      </c>
      <c r="H467" s="310">
        <v>6.8000001907348633</v>
      </c>
      <c r="I467" s="310">
        <v>2.0999999046325684</v>
      </c>
      <c r="J467" s="210">
        <f t="shared" si="19"/>
        <v>0</v>
      </c>
      <c r="K467" s="210">
        <f t="shared" si="19"/>
        <v>0</v>
      </c>
      <c r="L467" s="210">
        <f t="shared" si="19"/>
        <v>0</v>
      </c>
    </row>
    <row r="468" spans="1:12" x14ac:dyDescent="0.2">
      <c r="A468" s="248" t="s">
        <v>490</v>
      </c>
      <c r="B468" s="343"/>
      <c r="C468" s="343"/>
      <c r="D468" s="309">
        <v>640</v>
      </c>
      <c r="E468" s="309">
        <v>55</v>
      </c>
      <c r="F468" s="335">
        <f t="shared" si="20"/>
        <v>640</v>
      </c>
      <c r="G468" s="310">
        <v>24</v>
      </c>
      <c r="H468" s="310">
        <v>7</v>
      </c>
      <c r="I468" s="310">
        <v>4.0999999046325684</v>
      </c>
      <c r="J468" s="210">
        <f t="shared" si="19"/>
        <v>0</v>
      </c>
      <c r="K468" s="210">
        <f t="shared" si="19"/>
        <v>0</v>
      </c>
      <c r="L468" s="210">
        <f t="shared" si="19"/>
        <v>0</v>
      </c>
    </row>
    <row r="469" spans="1:12" x14ac:dyDescent="0.2">
      <c r="A469" s="248" t="s">
        <v>385</v>
      </c>
      <c r="B469" s="343"/>
      <c r="C469" s="343"/>
      <c r="D469" s="309">
        <v>550</v>
      </c>
      <c r="E469" s="309">
        <v>0</v>
      </c>
      <c r="F469" s="335">
        <f t="shared" si="20"/>
        <v>550</v>
      </c>
      <c r="G469" s="310">
        <v>24</v>
      </c>
      <c r="H469" s="310">
        <v>7</v>
      </c>
      <c r="I469" s="310">
        <v>4.0999999046325684</v>
      </c>
      <c r="J469" s="210">
        <f t="shared" si="19"/>
        <v>0</v>
      </c>
      <c r="K469" s="210">
        <f t="shared" si="19"/>
        <v>0</v>
      </c>
      <c r="L469" s="210">
        <f t="shared" si="19"/>
        <v>0</v>
      </c>
    </row>
    <row r="470" spans="1:12" x14ac:dyDescent="0.2">
      <c r="A470" s="248" t="s">
        <v>491</v>
      </c>
      <c r="B470" s="343"/>
      <c r="C470" s="343"/>
      <c r="D470" s="309">
        <v>1.2</v>
      </c>
      <c r="E470" s="309">
        <v>0</v>
      </c>
      <c r="F470" s="335">
        <f t="shared" si="20"/>
        <v>1.2</v>
      </c>
      <c r="G470" s="310">
        <v>32</v>
      </c>
      <c r="H470" s="310">
        <v>2.2000000476837158</v>
      </c>
      <c r="I470" s="310">
        <v>3.5999999046325684</v>
      </c>
      <c r="J470" s="210">
        <f t="shared" si="19"/>
        <v>0</v>
      </c>
      <c r="K470" s="210">
        <f t="shared" si="19"/>
        <v>0</v>
      </c>
      <c r="L470" s="210">
        <f t="shared" si="19"/>
        <v>0</v>
      </c>
    </row>
    <row r="471" spans="1:12" x14ac:dyDescent="0.2">
      <c r="A471" s="248" t="s">
        <v>492</v>
      </c>
      <c r="B471" s="343"/>
      <c r="C471" s="343"/>
      <c r="D471" s="309">
        <v>80</v>
      </c>
      <c r="E471" s="309">
        <v>0</v>
      </c>
      <c r="F471" s="335">
        <f t="shared" si="20"/>
        <v>80</v>
      </c>
      <c r="G471" s="310">
        <v>28.5</v>
      </c>
      <c r="H471" s="310">
        <v>6.0999999046325684</v>
      </c>
      <c r="I471" s="310">
        <v>1.7999999523162842</v>
      </c>
      <c r="J471" s="210">
        <f t="shared" si="19"/>
        <v>0</v>
      </c>
      <c r="K471" s="210">
        <f t="shared" si="19"/>
        <v>0</v>
      </c>
      <c r="L471" s="210">
        <f t="shared" si="19"/>
        <v>0</v>
      </c>
    </row>
    <row r="472" spans="1:12" x14ac:dyDescent="0.2">
      <c r="A472" s="248" t="s">
        <v>493</v>
      </c>
      <c r="B472" s="343"/>
      <c r="C472" s="343"/>
      <c r="D472" s="309">
        <v>5.5</v>
      </c>
      <c r="E472" s="309">
        <v>0</v>
      </c>
      <c r="F472" s="335">
        <f t="shared" si="20"/>
        <v>5.5</v>
      </c>
      <c r="G472" s="310">
        <v>35.599998474121094</v>
      </c>
      <c r="H472" s="310">
        <v>6.3000001907348633</v>
      </c>
      <c r="I472" s="310">
        <v>2.0999999046325684</v>
      </c>
      <c r="J472" s="210">
        <f t="shared" si="19"/>
        <v>0</v>
      </c>
      <c r="K472" s="210">
        <f t="shared" si="19"/>
        <v>0</v>
      </c>
      <c r="L472" s="210">
        <f t="shared" si="19"/>
        <v>0</v>
      </c>
    </row>
    <row r="473" spans="1:12" x14ac:dyDescent="0.2">
      <c r="A473" s="248" t="s">
        <v>494</v>
      </c>
      <c r="B473" s="343"/>
      <c r="C473" s="343"/>
      <c r="D473" s="309">
        <v>0.1</v>
      </c>
      <c r="E473" s="309">
        <v>0</v>
      </c>
      <c r="F473" s="335">
        <f t="shared" si="20"/>
        <v>0.1</v>
      </c>
      <c r="G473" s="310">
        <v>28</v>
      </c>
      <c r="H473" s="310">
        <v>4.8000001907348633</v>
      </c>
      <c r="I473" s="310">
        <v>1.7999999523162842</v>
      </c>
      <c r="J473" s="210">
        <f t="shared" si="19"/>
        <v>0</v>
      </c>
      <c r="K473" s="210">
        <f t="shared" si="19"/>
        <v>0</v>
      </c>
      <c r="L473" s="210">
        <f t="shared" si="19"/>
        <v>0</v>
      </c>
    </row>
    <row r="474" spans="1:12" x14ac:dyDescent="0.2">
      <c r="A474" s="248" t="s">
        <v>495</v>
      </c>
      <c r="B474" s="343"/>
      <c r="C474" s="343"/>
      <c r="D474" s="309">
        <v>1.5</v>
      </c>
      <c r="E474" s="309">
        <v>0</v>
      </c>
      <c r="F474" s="335">
        <f t="shared" si="20"/>
        <v>1.5</v>
      </c>
      <c r="G474" s="310">
        <v>28</v>
      </c>
      <c r="H474" s="310">
        <v>5</v>
      </c>
      <c r="I474" s="310">
        <v>2</v>
      </c>
      <c r="J474" s="210">
        <f t="shared" si="19"/>
        <v>0</v>
      </c>
      <c r="K474" s="210">
        <f t="shared" si="19"/>
        <v>0</v>
      </c>
      <c r="L474" s="210">
        <f t="shared" si="19"/>
        <v>0</v>
      </c>
    </row>
    <row r="475" spans="1:12" x14ac:dyDescent="0.2">
      <c r="A475" s="248" t="s">
        <v>496</v>
      </c>
      <c r="B475" s="343"/>
      <c r="C475" s="343"/>
      <c r="D475" s="309">
        <v>110</v>
      </c>
      <c r="E475" s="309">
        <v>0</v>
      </c>
      <c r="F475" s="335">
        <f t="shared" si="20"/>
        <v>110</v>
      </c>
      <c r="G475" s="310">
        <v>24</v>
      </c>
      <c r="H475" s="310">
        <v>4.4000000953674316</v>
      </c>
      <c r="I475" s="310">
        <v>4.0999999046325684</v>
      </c>
      <c r="J475" s="210">
        <f t="shared" si="19"/>
        <v>0</v>
      </c>
      <c r="K475" s="210">
        <f t="shared" si="19"/>
        <v>0</v>
      </c>
      <c r="L475" s="210">
        <f t="shared" si="19"/>
        <v>0</v>
      </c>
    </row>
    <row r="476" spans="1:12" x14ac:dyDescent="0.2">
      <c r="A476" s="248" t="s">
        <v>392</v>
      </c>
      <c r="B476" s="343"/>
      <c r="C476" s="343"/>
      <c r="D476" s="309">
        <v>15</v>
      </c>
      <c r="E476" s="309">
        <v>0</v>
      </c>
      <c r="F476" s="335">
        <f t="shared" si="20"/>
        <v>15</v>
      </c>
      <c r="G476" s="310">
        <v>24</v>
      </c>
      <c r="H476" s="310">
        <v>4.4000000953674316</v>
      </c>
      <c r="I476" s="310">
        <v>4.0999999046325684</v>
      </c>
      <c r="J476" s="210">
        <f t="shared" si="19"/>
        <v>0</v>
      </c>
      <c r="K476" s="210">
        <f t="shared" si="19"/>
        <v>0</v>
      </c>
      <c r="L476" s="210">
        <f t="shared" si="19"/>
        <v>0</v>
      </c>
    </row>
    <row r="477" spans="1:12" x14ac:dyDescent="0.2">
      <c r="A477" s="248" t="s">
        <v>497</v>
      </c>
      <c r="B477" s="343"/>
      <c r="C477" s="343"/>
      <c r="D477" s="309">
        <v>2.15</v>
      </c>
      <c r="E477" s="309">
        <v>0</v>
      </c>
      <c r="F477" s="335">
        <f t="shared" si="20"/>
        <v>2.15</v>
      </c>
      <c r="G477" s="310">
        <v>29.600000381469727</v>
      </c>
      <c r="H477" s="310">
        <v>4.8000001907348633</v>
      </c>
      <c r="I477" s="310">
        <v>1.7999999523162842</v>
      </c>
      <c r="J477" s="210">
        <f t="shared" si="19"/>
        <v>0</v>
      </c>
      <c r="K477" s="210">
        <f t="shared" si="19"/>
        <v>0</v>
      </c>
      <c r="L477" s="210">
        <f t="shared" si="19"/>
        <v>0</v>
      </c>
    </row>
    <row r="478" spans="1:12" x14ac:dyDescent="0.2">
      <c r="A478" s="248" t="s">
        <v>498</v>
      </c>
      <c r="B478" s="343"/>
      <c r="C478" s="343"/>
      <c r="D478" s="309">
        <v>1.86</v>
      </c>
      <c r="E478" s="309">
        <v>0</v>
      </c>
      <c r="F478" s="335">
        <f t="shared" si="20"/>
        <v>1.86</v>
      </c>
      <c r="G478" s="310">
        <v>26.5</v>
      </c>
      <c r="H478" s="310">
        <v>4.8000001907348633</v>
      </c>
      <c r="I478" s="310">
        <v>1.7999999523162842</v>
      </c>
      <c r="J478" s="210">
        <f t="shared" si="19"/>
        <v>0</v>
      </c>
      <c r="K478" s="210">
        <f t="shared" si="19"/>
        <v>0</v>
      </c>
      <c r="L478" s="210">
        <f t="shared" si="19"/>
        <v>0</v>
      </c>
    </row>
    <row r="479" spans="1:12" x14ac:dyDescent="0.2">
      <c r="A479" s="248" t="s">
        <v>499</v>
      </c>
      <c r="B479" s="343"/>
      <c r="C479" s="343"/>
      <c r="D479" s="309">
        <v>1.2</v>
      </c>
      <c r="E479" s="309">
        <v>0</v>
      </c>
      <c r="F479" s="335">
        <f t="shared" si="20"/>
        <v>1.2</v>
      </c>
      <c r="G479" s="310">
        <v>32</v>
      </c>
      <c r="H479" s="310">
        <v>4.8000001907348633</v>
      </c>
      <c r="I479" s="310">
        <v>1.7999999523162842</v>
      </c>
      <c r="J479" s="210">
        <f t="shared" si="19"/>
        <v>0</v>
      </c>
      <c r="K479" s="210">
        <f t="shared" si="19"/>
        <v>0</v>
      </c>
      <c r="L479" s="210">
        <f t="shared" si="19"/>
        <v>0</v>
      </c>
    </row>
    <row r="480" spans="1:12" x14ac:dyDescent="0.2">
      <c r="A480" s="248" t="s">
        <v>500</v>
      </c>
      <c r="B480" s="343"/>
      <c r="C480" s="343"/>
      <c r="D480" s="309">
        <v>2.13</v>
      </c>
      <c r="E480" s="309">
        <v>0</v>
      </c>
      <c r="F480" s="335">
        <f t="shared" si="20"/>
        <v>2.13</v>
      </c>
      <c r="G480" s="310">
        <v>32</v>
      </c>
      <c r="H480" s="310">
        <v>4.8000001907348633</v>
      </c>
      <c r="I480" s="310">
        <v>1.7999999523162842</v>
      </c>
      <c r="J480" s="210">
        <f t="shared" si="19"/>
        <v>0</v>
      </c>
      <c r="K480" s="210">
        <f t="shared" si="19"/>
        <v>0</v>
      </c>
      <c r="L480" s="210">
        <f t="shared" si="19"/>
        <v>0</v>
      </c>
    </row>
    <row r="481" spans="1:12" x14ac:dyDescent="0.2">
      <c r="A481" s="248" t="s">
        <v>501</v>
      </c>
      <c r="B481" s="343"/>
      <c r="C481" s="343"/>
      <c r="D481" s="309">
        <v>1.41</v>
      </c>
      <c r="E481" s="309">
        <v>0</v>
      </c>
      <c r="F481" s="335">
        <f t="shared" si="20"/>
        <v>1.41</v>
      </c>
      <c r="G481" s="310">
        <v>32</v>
      </c>
      <c r="H481" s="310">
        <v>4.8000001907348633</v>
      </c>
      <c r="I481" s="310">
        <v>1.7999999523162842</v>
      </c>
      <c r="J481" s="210">
        <f t="shared" si="19"/>
        <v>0</v>
      </c>
      <c r="K481" s="210">
        <f t="shared" si="19"/>
        <v>0</v>
      </c>
      <c r="L481" s="210">
        <f t="shared" si="19"/>
        <v>0</v>
      </c>
    </row>
    <row r="482" spans="1:12" x14ac:dyDescent="0.2">
      <c r="A482" s="248" t="s">
        <v>502</v>
      </c>
      <c r="B482" s="343"/>
      <c r="C482" s="343"/>
      <c r="D482" s="309">
        <v>1.4</v>
      </c>
      <c r="E482" s="309">
        <v>0</v>
      </c>
      <c r="F482" s="335">
        <f t="shared" si="20"/>
        <v>1.4</v>
      </c>
      <c r="G482" s="310">
        <v>32</v>
      </c>
      <c r="H482" s="310">
        <v>4.8000001907348633</v>
      </c>
      <c r="I482" s="310">
        <v>1.7999999523162842</v>
      </c>
      <c r="J482" s="210">
        <f t="shared" si="19"/>
        <v>0</v>
      </c>
      <c r="K482" s="210">
        <f t="shared" si="19"/>
        <v>0</v>
      </c>
      <c r="L482" s="210">
        <f t="shared" si="19"/>
        <v>0</v>
      </c>
    </row>
    <row r="483" spans="1:12" x14ac:dyDescent="0.2">
      <c r="A483" s="248" t="s">
        <v>503</v>
      </c>
      <c r="B483" s="343"/>
      <c r="C483" s="343"/>
      <c r="D483" s="309">
        <v>0.05</v>
      </c>
      <c r="E483" s="309">
        <v>0</v>
      </c>
      <c r="F483" s="335">
        <f t="shared" si="20"/>
        <v>0.05</v>
      </c>
      <c r="G483" s="310">
        <v>22.399999618530273</v>
      </c>
      <c r="H483" s="310">
        <v>3.5</v>
      </c>
      <c r="I483" s="310">
        <v>2</v>
      </c>
      <c r="J483" s="210">
        <f t="shared" si="19"/>
        <v>0</v>
      </c>
      <c r="K483" s="210">
        <f>$B483*$F483*H483/1000</f>
        <v>0</v>
      </c>
      <c r="L483" s="210">
        <f t="shared" si="19"/>
        <v>0</v>
      </c>
    </row>
    <row r="484" spans="1:12" x14ac:dyDescent="0.2">
      <c r="A484" s="248" t="s">
        <v>396</v>
      </c>
      <c r="B484" s="343"/>
      <c r="C484" s="343"/>
      <c r="D484" s="309">
        <v>800</v>
      </c>
      <c r="E484" s="309">
        <v>58</v>
      </c>
      <c r="F484" s="335">
        <f t="shared" si="20"/>
        <v>800</v>
      </c>
      <c r="G484" s="310">
        <v>24</v>
      </c>
      <c r="H484" s="310">
        <v>7</v>
      </c>
      <c r="I484" s="310">
        <v>4.0999999046325684</v>
      </c>
      <c r="J484" s="210">
        <f t="shared" si="19"/>
        <v>0</v>
      </c>
      <c r="K484" s="210">
        <f t="shared" si="19"/>
        <v>0</v>
      </c>
      <c r="L484" s="210">
        <f t="shared" si="19"/>
        <v>0</v>
      </c>
    </row>
    <row r="485" spans="1:12" x14ac:dyDescent="0.2">
      <c r="A485" s="248" t="s">
        <v>504</v>
      </c>
      <c r="B485" s="343"/>
      <c r="C485" s="343"/>
      <c r="D485" s="309">
        <v>660</v>
      </c>
      <c r="E485" s="309">
        <v>58</v>
      </c>
      <c r="F485" s="335">
        <f t="shared" si="20"/>
        <v>660</v>
      </c>
      <c r="G485" s="310">
        <v>24</v>
      </c>
      <c r="H485" s="310">
        <v>7</v>
      </c>
      <c r="I485" s="310">
        <v>4.0999999046325684</v>
      </c>
      <c r="J485" s="210">
        <f t="shared" si="19"/>
        <v>0</v>
      </c>
      <c r="K485" s="210">
        <f t="shared" si="19"/>
        <v>0</v>
      </c>
      <c r="L485" s="210">
        <f t="shared" si="19"/>
        <v>0</v>
      </c>
    </row>
    <row r="486" spans="1:12" x14ac:dyDescent="0.2">
      <c r="A486" s="248" t="s">
        <v>505</v>
      </c>
      <c r="B486" s="343"/>
      <c r="C486" s="343"/>
      <c r="D486" s="309">
        <v>220</v>
      </c>
      <c r="E486" s="309">
        <v>0</v>
      </c>
      <c r="F486" s="335">
        <f t="shared" si="20"/>
        <v>220</v>
      </c>
      <c r="G486" s="310">
        <v>24</v>
      </c>
      <c r="H486" s="310">
        <v>4.4000000953674316</v>
      </c>
      <c r="I486" s="310">
        <v>4.0999999046325684</v>
      </c>
      <c r="J486" s="210">
        <f t="shared" si="19"/>
        <v>0</v>
      </c>
      <c r="K486" s="210">
        <f t="shared" si="19"/>
        <v>0</v>
      </c>
      <c r="L486" s="210">
        <f t="shared" si="19"/>
        <v>0</v>
      </c>
    </row>
    <row r="487" spans="1:12" x14ac:dyDescent="0.2">
      <c r="A487" s="248" t="s">
        <v>506</v>
      </c>
      <c r="B487" s="343"/>
      <c r="C487" s="343"/>
      <c r="D487" s="309">
        <v>625</v>
      </c>
      <c r="E487" s="309">
        <v>49</v>
      </c>
      <c r="F487" s="335">
        <f t="shared" si="20"/>
        <v>625</v>
      </c>
      <c r="G487" s="310">
        <v>24</v>
      </c>
      <c r="H487" s="310">
        <v>7</v>
      </c>
      <c r="I487" s="310">
        <v>4.0999999046325684</v>
      </c>
      <c r="J487" s="210">
        <f t="shared" si="19"/>
        <v>0</v>
      </c>
      <c r="K487" s="210">
        <f t="shared" si="19"/>
        <v>0</v>
      </c>
      <c r="L487" s="210">
        <f t="shared" si="19"/>
        <v>0</v>
      </c>
    </row>
    <row r="488" spans="1:12" x14ac:dyDescent="0.2">
      <c r="A488" s="248" t="s">
        <v>398</v>
      </c>
      <c r="B488" s="343"/>
      <c r="C488" s="343"/>
      <c r="D488" s="309">
        <v>50</v>
      </c>
      <c r="E488" s="309">
        <v>50</v>
      </c>
      <c r="F488" s="335">
        <f t="shared" si="20"/>
        <v>50</v>
      </c>
      <c r="G488" s="310">
        <v>24</v>
      </c>
      <c r="H488" s="310">
        <v>7</v>
      </c>
      <c r="I488" s="310">
        <v>4.0999999046325684</v>
      </c>
      <c r="J488" s="210">
        <f t="shared" si="19"/>
        <v>0</v>
      </c>
      <c r="K488" s="210">
        <f t="shared" si="19"/>
        <v>0</v>
      </c>
      <c r="L488" s="210">
        <f t="shared" si="19"/>
        <v>0</v>
      </c>
    </row>
    <row r="489" spans="1:12" x14ac:dyDescent="0.2">
      <c r="A489" s="248" t="s">
        <v>507</v>
      </c>
      <c r="B489" s="343"/>
      <c r="C489" s="343"/>
      <c r="D489" s="309">
        <v>200</v>
      </c>
      <c r="E489" s="309">
        <v>50</v>
      </c>
      <c r="F489" s="335">
        <f>IF(C489&gt;0, IF(E489&gt;0,C489/E489*100,D489),D489)</f>
        <v>200</v>
      </c>
      <c r="G489" s="310">
        <v>24</v>
      </c>
      <c r="H489" s="310">
        <v>7</v>
      </c>
      <c r="I489" s="310">
        <v>4.0999999046325684</v>
      </c>
      <c r="J489" s="210">
        <f t="shared" si="19"/>
        <v>0</v>
      </c>
      <c r="K489" s="210">
        <f t="shared" si="19"/>
        <v>0</v>
      </c>
      <c r="L489" s="210">
        <f t="shared" si="19"/>
        <v>0</v>
      </c>
    </row>
    <row r="490" spans="1:12" x14ac:dyDescent="0.2">
      <c r="A490" s="248" t="s">
        <v>399</v>
      </c>
      <c r="B490" s="343"/>
      <c r="C490" s="343"/>
      <c r="D490" s="309">
        <v>120</v>
      </c>
      <c r="E490" s="309">
        <v>0</v>
      </c>
      <c r="F490" s="335">
        <f t="shared" si="20"/>
        <v>120</v>
      </c>
      <c r="G490" s="310">
        <v>24</v>
      </c>
      <c r="H490" s="310">
        <v>4.4000000953674316</v>
      </c>
      <c r="I490" s="310">
        <v>4.0999999046325684</v>
      </c>
      <c r="J490" s="210">
        <f t="shared" si="19"/>
        <v>0</v>
      </c>
      <c r="K490" s="210">
        <f t="shared" si="19"/>
        <v>0</v>
      </c>
      <c r="L490" s="210">
        <f t="shared" si="19"/>
        <v>0</v>
      </c>
    </row>
    <row r="491" spans="1:12" x14ac:dyDescent="0.2">
      <c r="A491" s="251" t="s">
        <v>508</v>
      </c>
      <c r="B491" s="343"/>
      <c r="C491" s="343"/>
      <c r="D491" s="309">
        <v>370</v>
      </c>
      <c r="E491" s="309">
        <v>0</v>
      </c>
      <c r="F491" s="335">
        <f>IF(C491&gt;0, IF(E491&gt;0,C491/E491*100,D491),D491)</f>
        <v>370</v>
      </c>
      <c r="G491" s="310">
        <v>24</v>
      </c>
      <c r="H491" s="310">
        <v>4.4000000953674316</v>
      </c>
      <c r="I491" s="310">
        <v>4.0999999046325684</v>
      </c>
      <c r="J491" s="210">
        <f>$B491*$F491*G491/1000</f>
        <v>0</v>
      </c>
      <c r="K491" s="210">
        <f>$B491*$F491*H491/1000</f>
        <v>0</v>
      </c>
      <c r="L491" s="210">
        <f>$B491*$F491*I491/1000</f>
        <v>0</v>
      </c>
    </row>
    <row r="492" spans="1:12" x14ac:dyDescent="0.2">
      <c r="A492" s="251" t="s">
        <v>197</v>
      </c>
      <c r="B492" s="343"/>
      <c r="C492" s="343"/>
      <c r="D492" s="343"/>
      <c r="E492" s="343"/>
      <c r="F492" s="335">
        <f>IF(C492&gt;0, IF(E492&gt;0,C492/E492*100,D492),D492)</f>
        <v>0</v>
      </c>
      <c r="G492" s="420"/>
      <c r="H492" s="343"/>
      <c r="I492" s="343"/>
      <c r="J492" s="210"/>
      <c r="K492" s="210"/>
      <c r="L492" s="210"/>
    </row>
    <row r="493" spans="1:12" ht="13.5" thickBot="1" x14ac:dyDescent="0.25">
      <c r="A493" s="251" t="s">
        <v>197</v>
      </c>
      <c r="B493" s="343"/>
      <c r="C493" s="343"/>
      <c r="D493" s="343"/>
      <c r="E493" s="343"/>
      <c r="F493" s="335">
        <f>IF(C493&gt;0, IF(E493&gt;0,C493/E493*100,D493),D493)</f>
        <v>0</v>
      </c>
      <c r="G493" s="343"/>
      <c r="H493" s="344"/>
      <c r="I493" s="344"/>
      <c r="J493" s="345"/>
      <c r="K493" s="345"/>
      <c r="L493" s="345"/>
    </row>
    <row r="494" spans="1:12" ht="13.5" thickBot="1" x14ac:dyDescent="0.25">
      <c r="A494" s="175"/>
      <c r="B494" s="175"/>
      <c r="C494" s="175"/>
      <c r="D494" s="175"/>
      <c r="E494" s="175"/>
      <c r="F494" s="175"/>
      <c r="G494" s="175"/>
      <c r="H494" s="314" t="s">
        <v>369</v>
      </c>
      <c r="I494" s="307" t="s">
        <v>199</v>
      </c>
      <c r="J494" s="315">
        <f>SUM(J455:J493)</f>
        <v>0</v>
      </c>
      <c r="K494" s="315">
        <f>SUM(K455:K493)</f>
        <v>0</v>
      </c>
      <c r="L494" s="315">
        <f>SUM(L455:L493)</f>
        <v>0</v>
      </c>
    </row>
    <row r="495" spans="1:12" x14ac:dyDescent="0.2">
      <c r="A495" s="175"/>
      <c r="B495" s="175"/>
      <c r="C495" s="175"/>
      <c r="D495" s="175"/>
      <c r="E495" s="175"/>
      <c r="F495" s="175"/>
      <c r="G495" s="175"/>
      <c r="H495" s="175"/>
      <c r="I495" s="175"/>
      <c r="J495" s="175"/>
      <c r="K495" s="175"/>
      <c r="L495" s="175"/>
    </row>
    <row r="496" spans="1:12" x14ac:dyDescent="0.2">
      <c r="A496" s="175"/>
      <c r="B496" s="175"/>
      <c r="C496" s="175"/>
      <c r="D496" s="175"/>
      <c r="E496" s="175"/>
      <c r="F496" s="175"/>
      <c r="G496" s="175"/>
      <c r="H496" s="175"/>
      <c r="I496" s="175"/>
      <c r="J496" s="175"/>
      <c r="K496" s="175"/>
      <c r="L496" s="175"/>
    </row>
    <row r="497" spans="1:12" ht="22.5" customHeight="1" x14ac:dyDescent="0.2">
      <c r="A497" s="531" t="s">
        <v>26</v>
      </c>
      <c r="B497" s="532"/>
      <c r="C497" s="532"/>
      <c r="D497" s="532"/>
      <c r="E497" s="532"/>
      <c r="F497" s="532"/>
      <c r="G497" s="532"/>
      <c r="H497" s="532"/>
      <c r="I497" s="533"/>
      <c r="J497" s="175"/>
      <c r="K497" s="175"/>
      <c r="L497" s="175"/>
    </row>
    <row r="498" spans="1:12" ht="20.25" x14ac:dyDescent="0.2">
      <c r="A498" s="242"/>
      <c r="B498" s="280"/>
      <c r="C498" s="280"/>
      <c r="D498" s="280"/>
      <c r="E498" s="280"/>
      <c r="F498" s="280"/>
      <c r="G498" s="280"/>
      <c r="H498" s="280"/>
      <c r="I498" s="234"/>
      <c r="J498" s="175"/>
      <c r="K498" s="175"/>
      <c r="L498" s="175"/>
    </row>
    <row r="499" spans="1:12" x14ac:dyDescent="0.2">
      <c r="A499" s="175"/>
      <c r="B499" s="175"/>
      <c r="C499" s="175"/>
      <c r="D499" s="230" t="s">
        <v>167</v>
      </c>
      <c r="E499" s="230" t="s">
        <v>201</v>
      </c>
      <c r="F499" s="230" t="s">
        <v>202</v>
      </c>
      <c r="G499" s="175"/>
      <c r="H499" s="175"/>
      <c r="I499" s="175"/>
      <c r="J499" s="175"/>
      <c r="K499" s="175"/>
      <c r="L499" s="175"/>
    </row>
    <row r="500" spans="1:12" ht="20.25" x14ac:dyDescent="0.2">
      <c r="A500" s="281" t="s">
        <v>509</v>
      </c>
      <c r="B500" s="282"/>
      <c r="C500" s="282"/>
      <c r="D500" s="225" t="s">
        <v>279</v>
      </c>
      <c r="E500" s="225" t="s">
        <v>302</v>
      </c>
      <c r="F500" s="225" t="s">
        <v>303</v>
      </c>
      <c r="G500" s="282"/>
      <c r="H500" s="282"/>
      <c r="I500" s="282"/>
      <c r="J500" s="175"/>
      <c r="K500" s="175"/>
      <c r="L500" s="175"/>
    </row>
    <row r="501" spans="1:12" ht="15.75" x14ac:dyDescent="0.2">
      <c r="A501" s="283" t="s">
        <v>510</v>
      </c>
      <c r="B501" s="284"/>
      <c r="C501" s="285"/>
      <c r="D501" s="286">
        <f>H46</f>
        <v>0</v>
      </c>
      <c r="E501" s="286">
        <f>I46</f>
        <v>0</v>
      </c>
      <c r="F501" s="286">
        <f>J46</f>
        <v>0</v>
      </c>
      <c r="G501" s="287"/>
      <c r="H501" s="288"/>
      <c r="I501" s="288"/>
      <c r="J501" s="175"/>
      <c r="K501" s="175"/>
      <c r="L501" s="175"/>
    </row>
    <row r="502" spans="1:12" ht="15.75" x14ac:dyDescent="0.2">
      <c r="A502" s="283" t="s">
        <v>511</v>
      </c>
      <c r="B502" s="284"/>
      <c r="C502" s="285"/>
      <c r="D502" s="286">
        <f>H117</f>
        <v>0</v>
      </c>
      <c r="E502" s="286">
        <f>I117</f>
        <v>0</v>
      </c>
      <c r="F502" s="286">
        <f>J117</f>
        <v>0</v>
      </c>
      <c r="G502" s="287"/>
      <c r="H502" s="288"/>
      <c r="I502" s="289"/>
      <c r="J502" s="175"/>
      <c r="K502" s="175"/>
      <c r="L502" s="175"/>
    </row>
    <row r="503" spans="1:12" ht="15.75" x14ac:dyDescent="0.2">
      <c r="A503" s="283" t="s">
        <v>512</v>
      </c>
      <c r="B503" s="284"/>
      <c r="C503" s="285"/>
      <c r="D503" s="286">
        <f>E153</f>
        <v>0</v>
      </c>
      <c r="E503" s="290"/>
      <c r="F503" s="290"/>
      <c r="G503" s="287"/>
      <c r="H503" s="288"/>
      <c r="I503" s="289"/>
      <c r="J503" s="175"/>
      <c r="K503" s="175"/>
      <c r="L503" s="175"/>
    </row>
    <row r="504" spans="1:12" ht="15.75" x14ac:dyDescent="0.2">
      <c r="A504" s="283" t="s">
        <v>513</v>
      </c>
      <c r="B504" s="284"/>
      <c r="C504" s="285"/>
      <c r="D504" s="286">
        <f>J239</f>
        <v>0</v>
      </c>
      <c r="E504" s="286">
        <f>K239</f>
        <v>0</v>
      </c>
      <c r="F504" s="286">
        <f>L239</f>
        <v>0</v>
      </c>
      <c r="G504" s="287"/>
      <c r="H504" s="288"/>
      <c r="I504" s="289"/>
      <c r="J504" s="175"/>
      <c r="K504" s="175"/>
      <c r="L504" s="175"/>
    </row>
    <row r="505" spans="1:12" ht="16.5" thickBot="1" x14ac:dyDescent="0.25">
      <c r="A505" s="283" t="s">
        <v>514</v>
      </c>
      <c r="B505" s="284"/>
      <c r="C505" s="346"/>
      <c r="D505" s="293">
        <f>G270</f>
        <v>0</v>
      </c>
      <c r="E505" s="293">
        <f>H270</f>
        <v>0</v>
      </c>
      <c r="F505" s="293">
        <f>I270</f>
        <v>0</v>
      </c>
      <c r="G505" s="287"/>
      <c r="H505" s="288"/>
      <c r="I505" s="289"/>
      <c r="J505" s="175"/>
      <c r="K505" s="175"/>
      <c r="L505" s="175"/>
    </row>
    <row r="506" spans="1:12" ht="32.25" thickBot="1" x14ac:dyDescent="0.25">
      <c r="A506" s="291"/>
      <c r="B506" s="292"/>
      <c r="C506" s="350" t="s">
        <v>515</v>
      </c>
      <c r="D506" s="351">
        <f>SUM(D501:D505)</f>
        <v>0</v>
      </c>
      <c r="E506" s="351">
        <f>SUM(E501:E505)</f>
        <v>0</v>
      </c>
      <c r="F506" s="352">
        <f>SUM(F501:F505)</f>
        <v>0</v>
      </c>
      <c r="G506" s="287"/>
      <c r="H506" s="294"/>
      <c r="I506" s="295"/>
      <c r="J506" s="177"/>
      <c r="K506" s="177"/>
      <c r="L506" s="177"/>
    </row>
    <row r="507" spans="1:12" ht="15.75" x14ac:dyDescent="0.2">
      <c r="A507" s="291"/>
      <c r="B507" s="292"/>
      <c r="C507" s="296"/>
      <c r="D507" s="347"/>
      <c r="E507" s="348"/>
      <c r="F507" s="349"/>
      <c r="G507" s="287"/>
      <c r="H507" s="297"/>
      <c r="I507" s="295"/>
      <c r="J507" s="177"/>
      <c r="K507" s="177"/>
      <c r="L507" s="177"/>
    </row>
    <row r="508" spans="1:12" ht="20.25" x14ac:dyDescent="0.2">
      <c r="A508" s="242"/>
      <c r="B508" s="280"/>
      <c r="C508" s="280"/>
      <c r="D508" s="298" t="s">
        <v>167</v>
      </c>
      <c r="E508" s="298" t="s">
        <v>201</v>
      </c>
      <c r="F508" s="298" t="s">
        <v>202</v>
      </c>
      <c r="G508" s="287"/>
      <c r="H508" s="280"/>
      <c r="I508" s="234"/>
      <c r="J508" s="175"/>
      <c r="K508" s="175"/>
      <c r="L508" s="175"/>
    </row>
    <row r="509" spans="1:12" ht="20.25" x14ac:dyDescent="0.2">
      <c r="A509" s="242" t="s">
        <v>516</v>
      </c>
      <c r="B509" s="280"/>
      <c r="C509" s="280"/>
      <c r="D509" s="225" t="s">
        <v>279</v>
      </c>
      <c r="E509" s="225" t="s">
        <v>302</v>
      </c>
      <c r="F509" s="225" t="s">
        <v>303</v>
      </c>
      <c r="G509" s="287"/>
      <c r="H509" s="280"/>
      <c r="I509" s="234"/>
      <c r="J509" s="175"/>
      <c r="K509" s="175"/>
      <c r="L509" s="175"/>
    </row>
    <row r="510" spans="1:12" ht="15.75" x14ac:dyDescent="0.2">
      <c r="A510" s="283" t="s">
        <v>517</v>
      </c>
      <c r="B510" s="404"/>
      <c r="C510" s="405"/>
      <c r="D510" s="299">
        <f>F340</f>
        <v>0</v>
      </c>
      <c r="E510" s="299">
        <f>G340</f>
        <v>0</v>
      </c>
      <c r="F510" s="299">
        <f>H340</f>
        <v>0</v>
      </c>
      <c r="G510" s="287"/>
      <c r="H510" s="300"/>
      <c r="I510" s="301"/>
      <c r="J510" s="175"/>
      <c r="K510" s="175"/>
      <c r="L510" s="175"/>
    </row>
    <row r="511" spans="1:12" ht="15.75" x14ac:dyDescent="0.2">
      <c r="A511" s="283" t="s">
        <v>518</v>
      </c>
      <c r="B511" s="404"/>
      <c r="C511" s="405"/>
      <c r="D511" s="299">
        <f>H371</f>
        <v>0</v>
      </c>
      <c r="E511" s="299">
        <f>I371</f>
        <v>0</v>
      </c>
      <c r="F511" s="299">
        <f>J371</f>
        <v>0</v>
      </c>
      <c r="G511" s="287"/>
      <c r="H511" s="300"/>
      <c r="I511" s="301"/>
      <c r="J511" s="175"/>
      <c r="K511" s="175"/>
      <c r="L511" s="175"/>
    </row>
    <row r="512" spans="1:12" ht="15.75" x14ac:dyDescent="0.2">
      <c r="A512" s="283" t="s">
        <v>519</v>
      </c>
      <c r="B512" s="404"/>
      <c r="C512" s="405"/>
      <c r="D512" s="299">
        <f>F421</f>
        <v>0</v>
      </c>
      <c r="E512" s="299">
        <f>G421</f>
        <v>0</v>
      </c>
      <c r="F512" s="299">
        <f>H421</f>
        <v>0</v>
      </c>
      <c r="G512" s="287"/>
      <c r="H512" s="300"/>
      <c r="I512" s="301"/>
      <c r="J512" s="175"/>
      <c r="K512" s="175"/>
      <c r="L512" s="175"/>
    </row>
    <row r="513" spans="1:13" ht="15.75" x14ac:dyDescent="0.2">
      <c r="A513" s="283" t="s">
        <v>520</v>
      </c>
      <c r="B513" s="404"/>
      <c r="C513" s="405"/>
      <c r="D513" s="299">
        <f>G447</f>
        <v>0</v>
      </c>
      <c r="E513" s="299">
        <f>H447</f>
        <v>0</v>
      </c>
      <c r="F513" s="299">
        <f>I447</f>
        <v>0</v>
      </c>
      <c r="G513" s="287"/>
      <c r="H513" s="300"/>
      <c r="I513" s="301"/>
      <c r="J513" s="175"/>
      <c r="K513" s="175"/>
      <c r="L513" s="175"/>
    </row>
    <row r="514" spans="1:13" ht="16.5" thickBot="1" x14ac:dyDescent="0.25">
      <c r="A514" s="283" t="s">
        <v>521</v>
      </c>
      <c r="B514" s="404"/>
      <c r="C514" s="406"/>
      <c r="D514" s="302">
        <f>J494</f>
        <v>0</v>
      </c>
      <c r="E514" s="302">
        <f>K494</f>
        <v>0</v>
      </c>
      <c r="F514" s="302">
        <f>L494</f>
        <v>0</v>
      </c>
      <c r="G514" s="287"/>
      <c r="H514" s="300"/>
      <c r="I514" s="301"/>
      <c r="J514" s="175"/>
      <c r="K514" s="175"/>
      <c r="L514" s="175"/>
    </row>
    <row r="515" spans="1:13" ht="32.25" thickBot="1" x14ac:dyDescent="0.25">
      <c r="A515" s="175"/>
      <c r="B515" s="175"/>
      <c r="C515" s="350" t="s">
        <v>522</v>
      </c>
      <c r="D515" s="354">
        <f>SUM(D510:D514)</f>
        <v>0</v>
      </c>
      <c r="E515" s="354">
        <f>SUM(E510:E514)</f>
        <v>0</v>
      </c>
      <c r="F515" s="355">
        <f>SUM(F510:F514)</f>
        <v>0</v>
      </c>
      <c r="G515" s="287"/>
      <c r="H515" s="175"/>
      <c r="I515" s="175"/>
      <c r="J515" s="175"/>
      <c r="K515" s="175"/>
      <c r="L515" s="175"/>
    </row>
    <row r="516" spans="1:13" ht="15.75" x14ac:dyDescent="0.2">
      <c r="A516" s="175"/>
      <c r="B516" s="175"/>
      <c r="C516" s="296"/>
      <c r="D516" s="353"/>
      <c r="E516" s="353"/>
      <c r="F516" s="353"/>
      <c r="G516" s="287"/>
      <c r="H516" s="175"/>
      <c r="I516" s="175"/>
      <c r="J516" s="175"/>
      <c r="K516" s="175"/>
      <c r="L516" s="175"/>
    </row>
    <row r="517" spans="1:13" ht="15.75" x14ac:dyDescent="0.2">
      <c r="A517" s="175"/>
      <c r="B517" s="175"/>
      <c r="C517" s="296"/>
      <c r="D517" s="303" t="s">
        <v>167</v>
      </c>
      <c r="E517" s="303" t="s">
        <v>201</v>
      </c>
      <c r="F517" s="303" t="s">
        <v>202</v>
      </c>
      <c r="G517" s="287"/>
      <c r="H517" s="175"/>
      <c r="I517" s="175"/>
      <c r="J517" s="175"/>
      <c r="K517" s="175"/>
      <c r="L517" s="175"/>
    </row>
    <row r="518" spans="1:13" ht="16.5" thickBot="1" x14ac:dyDescent="0.25">
      <c r="A518" s="175"/>
      <c r="B518" s="175"/>
      <c r="C518" s="175"/>
      <c r="D518" s="341" t="s">
        <v>279</v>
      </c>
      <c r="E518" s="341" t="s">
        <v>302</v>
      </c>
      <c r="F518" s="341" t="s">
        <v>303</v>
      </c>
      <c r="G518" s="287"/>
      <c r="H518" s="175"/>
      <c r="I518" s="175"/>
      <c r="J518" s="175"/>
      <c r="K518" s="175"/>
      <c r="L518" s="175"/>
    </row>
    <row r="519" spans="1:13" ht="32.25" thickBot="1" x14ac:dyDescent="0.25">
      <c r="A519" s="425" t="s">
        <v>523</v>
      </c>
      <c r="B519" s="175"/>
      <c r="C519" s="356" t="s">
        <v>524</v>
      </c>
      <c r="D519" s="354">
        <f>D506-D515</f>
        <v>0</v>
      </c>
      <c r="E519" s="354">
        <f>E506-E515</f>
        <v>0</v>
      </c>
      <c r="F519" s="355">
        <f>F506-F515</f>
        <v>0</v>
      </c>
      <c r="G519" s="287"/>
      <c r="H519" s="175"/>
      <c r="I519" s="175"/>
      <c r="J519" s="175"/>
      <c r="K519" s="175"/>
      <c r="L519" s="175"/>
    </row>
    <row r="520" spans="1:13" ht="16.5" customHeight="1" thickBot="1" x14ac:dyDescent="0.25">
      <c r="A520" s="99"/>
      <c r="B520" s="175"/>
      <c r="C520" s="175"/>
      <c r="D520" s="424" t="s">
        <v>525</v>
      </c>
      <c r="E520" s="424" t="s">
        <v>526</v>
      </c>
      <c r="F520" s="424" t="s">
        <v>527</v>
      </c>
      <c r="G520" s="287"/>
      <c r="H520" s="175"/>
    </row>
    <row r="521" spans="1:13" ht="42" customHeight="1" thickBot="1" x14ac:dyDescent="0.25">
      <c r="A521" s="175"/>
      <c r="B521" s="175"/>
      <c r="C521" s="421" t="s">
        <v>634</v>
      </c>
      <c r="D521" s="422" t="str">
        <f>IF(A520=0," SAU? A remplir à gauche",D519/$A520)</f>
        <v xml:space="preserve"> SAU? A remplir à gauche</v>
      </c>
      <c r="E521" s="422" t="str">
        <f>IF(A520=0," SAU? A remplir à gauche",E519/$A520)</f>
        <v xml:space="preserve"> SAU? A remplir à gauche</v>
      </c>
      <c r="F521" s="423" t="str">
        <f>IF(A520=0," SAU? A remplir à gauche",F519/$A520)</f>
        <v xml:space="preserve"> SAU? A remplir à gauche</v>
      </c>
      <c r="G521" s="287"/>
      <c r="H521" s="554" t="s">
        <v>636</v>
      </c>
      <c r="I521" s="554"/>
      <c r="J521" s="554"/>
      <c r="K521" s="554"/>
      <c r="L521" s="554"/>
      <c r="M521" s="554"/>
    </row>
    <row r="522" spans="1:13" ht="13.5" thickBot="1" x14ac:dyDescent="0.25">
      <c r="A522" s="175"/>
      <c r="B522" s="175"/>
      <c r="C522" s="175"/>
      <c r="D522" s="175"/>
      <c r="E522" s="175"/>
      <c r="F522" s="175"/>
      <c r="G522" s="175"/>
      <c r="H522" s="175"/>
    </row>
    <row r="523" spans="1:13" ht="15" customHeight="1" x14ac:dyDescent="0.2">
      <c r="B523" s="548" t="s">
        <v>635</v>
      </c>
      <c r="C523" s="549"/>
      <c r="D523" s="552" t="e">
        <f>D503/A520</f>
        <v>#DIV/0!</v>
      </c>
      <c r="G523" s="175"/>
      <c r="H523" s="555" t="s">
        <v>646</v>
      </c>
      <c r="I523" s="556"/>
      <c r="J523" s="556"/>
      <c r="K523" s="559">
        <f>D503*1.0335/1000</f>
        <v>0</v>
      </c>
      <c r="L523" s="561" t="s">
        <v>645</v>
      </c>
      <c r="M523" s="562"/>
    </row>
    <row r="524" spans="1:13" ht="13.5" thickBot="1" x14ac:dyDescent="0.25">
      <c r="B524" s="550"/>
      <c r="C524" s="551"/>
      <c r="D524" s="553"/>
      <c r="H524" s="557"/>
      <c r="I524" s="558"/>
      <c r="J524" s="558"/>
      <c r="K524" s="560"/>
      <c r="L524" s="563"/>
      <c r="M524" s="564"/>
    </row>
    <row r="525" spans="1:13" x14ac:dyDescent="0.2">
      <c r="A525" s="175"/>
      <c r="B525" s="175"/>
      <c r="D525" s="175"/>
      <c r="E525" s="175"/>
      <c r="F525" s="175"/>
      <c r="G525" s="175"/>
      <c r="H525" s="175"/>
      <c r="I525" s="175"/>
      <c r="J525" s="175"/>
      <c r="K525" s="175"/>
      <c r="L525" s="175"/>
    </row>
    <row r="526" spans="1:13" x14ac:dyDescent="0.2">
      <c r="A526" s="175"/>
      <c r="B526" s="175"/>
      <c r="D526" s="175"/>
      <c r="E526" s="175"/>
      <c r="F526" s="175"/>
      <c r="G526" s="175"/>
      <c r="H526" s="175"/>
      <c r="I526" s="175"/>
      <c r="J526" s="175"/>
      <c r="K526" s="175"/>
      <c r="L526" s="175"/>
    </row>
    <row r="528" spans="1:13" x14ac:dyDescent="0.2">
      <c r="A528" s="407" t="s">
        <v>547</v>
      </c>
    </row>
    <row r="529" spans="1:1" x14ac:dyDescent="0.2">
      <c r="A529" s="174" t="s">
        <v>532</v>
      </c>
    </row>
    <row r="530" spans="1:1" x14ac:dyDescent="0.2">
      <c r="A530" s="174" t="s">
        <v>533</v>
      </c>
    </row>
    <row r="531" spans="1:1" x14ac:dyDescent="0.2">
      <c r="A531" s="174" t="s">
        <v>534</v>
      </c>
    </row>
    <row r="532" spans="1:1" x14ac:dyDescent="0.2">
      <c r="A532" s="174" t="s">
        <v>535</v>
      </c>
    </row>
    <row r="533" spans="1:1" x14ac:dyDescent="0.2">
      <c r="A533" s="174" t="s">
        <v>536</v>
      </c>
    </row>
    <row r="534" spans="1:1" x14ac:dyDescent="0.2">
      <c r="A534" s="174" t="s">
        <v>537</v>
      </c>
    </row>
    <row r="535" spans="1:1" x14ac:dyDescent="0.2">
      <c r="A535" s="174" t="s">
        <v>538</v>
      </c>
    </row>
    <row r="536" spans="1:1" x14ac:dyDescent="0.2">
      <c r="A536" s="174" t="s">
        <v>676</v>
      </c>
    </row>
  </sheetData>
  <sheetProtection password="D3B7" sheet="1" objects="1" scenarios="1"/>
  <protectedRanges>
    <protectedRange sqref="B281:B333 B334:E335 B347:B369 B370:C370 E370 F370 G370 B382:B418 B419:E420 B429:C433 E432:F433 B438:B443 C442:F443 B455:C491 B492:E493 G492:I493" name="Sorties"/>
    <protectedRange sqref="B16:D39 B40:G41 B54:D110 B111:G112 C125:D126 C129:D129 B137:C138 B143:C148 B163:D235 B236:E238 G236:I238 B246:B267 B268:F269" name="Entrée"/>
  </protectedRanges>
  <mergeCells count="35">
    <mergeCell ref="B523:C524"/>
    <mergeCell ref="D523:D524"/>
    <mergeCell ref="H521:M521"/>
    <mergeCell ref="H523:J524"/>
    <mergeCell ref="K523:K524"/>
    <mergeCell ref="L523:M524"/>
    <mergeCell ref="B1:K1"/>
    <mergeCell ref="A132:F132"/>
    <mergeCell ref="A122:F122"/>
    <mergeCell ref="A436:A437"/>
    <mergeCell ref="A497:I497"/>
    <mergeCell ref="B151:C151"/>
    <mergeCell ref="B153:C153"/>
    <mergeCell ref="D338:E338"/>
    <mergeCell ref="A345:A346"/>
    <mergeCell ref="A244:A245"/>
    <mergeCell ref="A424:I424"/>
    <mergeCell ref="A450:L450"/>
    <mergeCell ref="B5:D5"/>
    <mergeCell ref="B7:D7"/>
    <mergeCell ref="F115:G115"/>
    <mergeCell ref="A427:A428"/>
    <mergeCell ref="A11:J11"/>
    <mergeCell ref="F43:G43"/>
    <mergeCell ref="F46:G46"/>
    <mergeCell ref="E44:G44"/>
    <mergeCell ref="G141:L142"/>
    <mergeCell ref="E45:G45"/>
    <mergeCell ref="A377:H377"/>
    <mergeCell ref="A48:J48"/>
    <mergeCell ref="A120:J120"/>
    <mergeCell ref="A157:L157"/>
    <mergeCell ref="A241:I241"/>
    <mergeCell ref="A275:H275"/>
    <mergeCell ref="A342:J342"/>
  </mergeCells>
  <pageMargins left="0.7" right="0.7" top="0.75" bottom="0.75" header="0.3" footer="0.3"/>
  <pageSetup paperSize="9" scale="31" orientation="portrait" verticalDpi="0" r:id="rId1"/>
  <rowBreaks count="4" manualBreakCount="4">
    <brk id="117" max="13" man="1"/>
    <brk id="240" max="13" man="1"/>
    <brk id="341" max="13" man="1"/>
    <brk id="423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rgb="FFFFFF99"/>
    <pageSetUpPr fitToPage="1"/>
  </sheetPr>
  <dimension ref="A1:J65"/>
  <sheetViews>
    <sheetView showGridLines="0" zoomScaleNormal="100" zoomScaleSheetLayoutView="85" zoomScalePageLayoutView="70" workbookViewId="0">
      <selection activeCell="D5" sqref="D5"/>
    </sheetView>
  </sheetViews>
  <sheetFormatPr baseColWidth="10" defaultColWidth="9.140625" defaultRowHeight="12.75" x14ac:dyDescent="0.2"/>
  <cols>
    <col min="1" max="1" width="16.85546875" customWidth="1"/>
    <col min="2" max="2" width="48.85546875" customWidth="1"/>
    <col min="4" max="4" width="10.7109375" customWidth="1"/>
    <col min="6" max="6" width="25.85546875" customWidth="1"/>
    <col min="7" max="8" width="9.140625" style="452"/>
    <col min="9" max="9" width="10" style="452" customWidth="1"/>
    <col min="10" max="10" width="9.140625" style="452"/>
  </cols>
  <sheetData>
    <row r="1" spans="1:10" ht="29.1" customHeight="1" x14ac:dyDescent="0.25">
      <c r="B1" s="575" t="s">
        <v>690</v>
      </c>
      <c r="C1" s="575"/>
      <c r="D1" s="575"/>
      <c r="E1" s="575"/>
      <c r="F1" s="575"/>
      <c r="J1" s="453"/>
    </row>
    <row r="2" spans="1:10" ht="21.95" customHeight="1" x14ac:dyDescent="0.25">
      <c r="B2" s="576" t="s">
        <v>691</v>
      </c>
      <c r="C2" s="576"/>
      <c r="D2" s="576"/>
      <c r="E2" s="576"/>
      <c r="F2" s="576"/>
      <c r="J2" s="453"/>
    </row>
    <row r="3" spans="1:10" ht="45" customHeight="1" x14ac:dyDescent="0.25">
      <c r="B3" s="569" t="s">
        <v>692</v>
      </c>
      <c r="C3" s="569"/>
      <c r="D3" s="569"/>
      <c r="E3" s="569"/>
      <c r="F3" s="569"/>
      <c r="J3" s="453"/>
    </row>
    <row r="4" spans="1:10" ht="15.75" x14ac:dyDescent="0.25">
      <c r="B4" s="570" t="s">
        <v>693</v>
      </c>
      <c r="C4" s="570"/>
      <c r="D4" s="11"/>
      <c r="J4" s="453"/>
    </row>
    <row r="5" spans="1:10" ht="15.75" x14ac:dyDescent="0.25">
      <c r="B5" s="570"/>
      <c r="C5" s="570"/>
      <c r="J5" s="453"/>
    </row>
    <row r="6" spans="1:10" ht="15.75" x14ac:dyDescent="0.25">
      <c r="A6" s="454"/>
      <c r="B6" s="455" t="s">
        <v>694</v>
      </c>
      <c r="C6" s="456"/>
      <c r="D6" s="496"/>
      <c r="J6" s="453"/>
    </row>
    <row r="7" spans="1:10" ht="15.75" x14ac:dyDescent="0.25">
      <c r="B7" s="451" t="s">
        <v>695</v>
      </c>
      <c r="C7" s="456"/>
      <c r="D7" s="497"/>
      <c r="J7" s="453"/>
    </row>
    <row r="8" spans="1:10" ht="15.75" customHeight="1" x14ac:dyDescent="0.25">
      <c r="B8" s="457" t="s">
        <v>696</v>
      </c>
      <c r="C8" s="456"/>
      <c r="D8" s="496"/>
      <c r="E8" s="494"/>
      <c r="F8" s="487" t="s">
        <v>722</v>
      </c>
      <c r="J8" s="453"/>
    </row>
    <row r="9" spans="1:10" ht="15.75" x14ac:dyDescent="0.25">
      <c r="D9" s="458"/>
      <c r="J9" s="453"/>
    </row>
    <row r="10" spans="1:10" ht="15.75" x14ac:dyDescent="0.25">
      <c r="D10" s="418"/>
      <c r="E10" s="571" t="s">
        <v>721</v>
      </c>
      <c r="F10" s="572"/>
      <c r="G10"/>
      <c r="J10" s="453"/>
    </row>
    <row r="11" spans="1:10" ht="15.75" x14ac:dyDescent="0.25">
      <c r="B11" s="459" t="s">
        <v>697</v>
      </c>
      <c r="C11" s="460" t="str">
        <f>IF(C6="",IF(E8=0,"",H11/E8),C6)</f>
        <v/>
      </c>
      <c r="D11" s="493"/>
      <c r="E11" s="489"/>
      <c r="F11" s="490" t="s">
        <v>697</v>
      </c>
      <c r="H11" s="461">
        <f>SUMIF(F17:F46,J17,H17:H46)</f>
        <v>0</v>
      </c>
      <c r="I11" s="452" t="s">
        <v>698</v>
      </c>
      <c r="J11" s="453"/>
    </row>
    <row r="12" spans="1:10" ht="15.75" x14ac:dyDescent="0.25">
      <c r="B12" s="462" t="s">
        <v>699</v>
      </c>
      <c r="C12" s="463" t="str">
        <f>IF(C7="",IF(E8=0,"",H12/E8),C7)</f>
        <v/>
      </c>
      <c r="D12" s="493"/>
      <c r="E12" s="489"/>
      <c r="F12" s="491" t="s">
        <v>699</v>
      </c>
      <c r="H12" s="464">
        <f>SUMIF(F17:F46,J18,H17:H46)+H16</f>
        <v>0</v>
      </c>
      <c r="I12" s="452" t="s">
        <v>700</v>
      </c>
      <c r="J12" s="453"/>
    </row>
    <row r="13" spans="1:10" ht="15.75" x14ac:dyDescent="0.25">
      <c r="B13" s="451" t="s">
        <v>723</v>
      </c>
      <c r="C13" s="495">
        <f>C8+H16</f>
        <v>0</v>
      </c>
      <c r="D13" s="466"/>
      <c r="F13" s="465" t="s">
        <v>701</v>
      </c>
      <c r="J13" s="453"/>
    </row>
    <row r="14" spans="1:10" ht="13.5" thickBot="1" x14ac:dyDescent="0.25">
      <c r="H14" s="452" t="s">
        <v>702</v>
      </c>
    </row>
    <row r="15" spans="1:10" ht="49.7" customHeight="1" x14ac:dyDescent="0.2">
      <c r="A15" s="467" t="s">
        <v>703</v>
      </c>
      <c r="B15" s="468" t="s">
        <v>704</v>
      </c>
      <c r="C15" s="468" t="s">
        <v>705</v>
      </c>
      <c r="D15" s="468" t="s">
        <v>706</v>
      </c>
      <c r="E15" s="468" t="s">
        <v>707</v>
      </c>
      <c r="F15" s="468" t="s">
        <v>708</v>
      </c>
      <c r="H15" s="469" t="s">
        <v>709</v>
      </c>
      <c r="I15" s="470" t="s">
        <v>710</v>
      </c>
    </row>
    <row r="16" spans="1:10" ht="28.35" customHeight="1" x14ac:dyDescent="0.2">
      <c r="A16" s="573" t="s">
        <v>711</v>
      </c>
      <c r="B16" s="574"/>
      <c r="C16" s="471"/>
      <c r="D16" s="472">
        <v>1</v>
      </c>
      <c r="E16" s="472">
        <v>1</v>
      </c>
      <c r="F16" s="472" t="s">
        <v>712</v>
      </c>
      <c r="H16" s="473">
        <f>IF(E16&gt;0,(D16/E16)*C16,"")</f>
        <v>0</v>
      </c>
      <c r="I16" s="474">
        <f>IF(C8="",IF(E8=0,0,H16/E8),C8)</f>
        <v>0</v>
      </c>
    </row>
    <row r="17" spans="1:10" ht="20.25" customHeight="1" x14ac:dyDescent="0.2">
      <c r="A17" s="471"/>
      <c r="B17" s="471"/>
      <c r="C17" s="471"/>
      <c r="D17" s="471"/>
      <c r="E17" s="471"/>
      <c r="F17" s="476" t="s">
        <v>714</v>
      </c>
      <c r="H17" s="477" t="str">
        <f t="shared" ref="H17:H46" si="0">IF(E17&gt;0,(D17/E17)*C17,"")</f>
        <v/>
      </c>
      <c r="I17" s="478"/>
      <c r="J17" s="479" t="s">
        <v>714</v>
      </c>
    </row>
    <row r="18" spans="1:10" ht="20.25" customHeight="1" x14ac:dyDescent="0.2">
      <c r="A18" s="471"/>
      <c r="B18" s="471"/>
      <c r="C18" s="471"/>
      <c r="D18" s="471"/>
      <c r="E18" s="471"/>
      <c r="F18" s="476" t="s">
        <v>713</v>
      </c>
      <c r="H18" s="477" t="str">
        <f t="shared" si="0"/>
        <v/>
      </c>
      <c r="I18" s="480"/>
      <c r="J18" s="481" t="s">
        <v>713</v>
      </c>
    </row>
    <row r="19" spans="1:10" ht="20.25" customHeight="1" x14ac:dyDescent="0.2">
      <c r="A19" s="471"/>
      <c r="B19" s="471"/>
      <c r="C19" s="471"/>
      <c r="D19" s="471"/>
      <c r="E19" s="471"/>
      <c r="F19" s="476"/>
      <c r="H19" s="477" t="str">
        <f t="shared" si="0"/>
        <v/>
      </c>
      <c r="J19" s="482"/>
    </row>
    <row r="20" spans="1:10" ht="20.25" customHeight="1" x14ac:dyDescent="0.2">
      <c r="A20" s="471"/>
      <c r="B20" s="471"/>
      <c r="C20" s="471"/>
      <c r="D20" s="471"/>
      <c r="E20" s="471"/>
      <c r="F20" s="476"/>
      <c r="H20" s="477" t="str">
        <f t="shared" si="0"/>
        <v/>
      </c>
      <c r="J20" s="483"/>
    </row>
    <row r="21" spans="1:10" ht="20.25" customHeight="1" x14ac:dyDescent="0.2">
      <c r="A21" s="471"/>
      <c r="B21" s="471"/>
      <c r="C21" s="471"/>
      <c r="D21" s="471"/>
      <c r="E21" s="471"/>
      <c r="F21" s="476"/>
      <c r="H21" s="477" t="str">
        <f t="shared" si="0"/>
        <v/>
      </c>
      <c r="J21" s="483"/>
    </row>
    <row r="22" spans="1:10" ht="20.25" customHeight="1" x14ac:dyDescent="0.2">
      <c r="A22" s="471"/>
      <c r="B22" s="471"/>
      <c r="C22" s="471"/>
      <c r="D22" s="471"/>
      <c r="E22" s="471"/>
      <c r="F22" s="476"/>
      <c r="H22" s="477" t="str">
        <f t="shared" si="0"/>
        <v/>
      </c>
      <c r="J22" s="483"/>
    </row>
    <row r="23" spans="1:10" ht="20.25" customHeight="1" x14ac:dyDescent="0.2">
      <c r="A23" s="471"/>
      <c r="B23" s="471"/>
      <c r="C23" s="471"/>
      <c r="D23" s="471"/>
      <c r="E23" s="471"/>
      <c r="F23" s="476"/>
      <c r="H23" s="477" t="str">
        <f t="shared" si="0"/>
        <v/>
      </c>
      <c r="J23" s="483"/>
    </row>
    <row r="24" spans="1:10" ht="20.25" customHeight="1" x14ac:dyDescent="0.2">
      <c r="A24" s="471"/>
      <c r="B24" s="471"/>
      <c r="C24" s="471"/>
      <c r="D24" s="471"/>
      <c r="E24" s="471"/>
      <c r="F24" s="476"/>
      <c r="H24" s="477" t="str">
        <f t="shared" si="0"/>
        <v/>
      </c>
      <c r="J24" s="483"/>
    </row>
    <row r="25" spans="1:10" ht="20.25" customHeight="1" x14ac:dyDescent="0.2">
      <c r="A25" s="471"/>
      <c r="B25" s="471"/>
      <c r="C25" s="471"/>
      <c r="D25" s="471"/>
      <c r="E25" s="471"/>
      <c r="F25" s="476"/>
      <c r="H25" s="477" t="str">
        <f t="shared" si="0"/>
        <v/>
      </c>
      <c r="J25" s="483"/>
    </row>
    <row r="26" spans="1:10" ht="20.25" customHeight="1" x14ac:dyDescent="0.2">
      <c r="A26" s="471"/>
      <c r="B26" s="471"/>
      <c r="C26" s="471"/>
      <c r="D26" s="471"/>
      <c r="E26" s="471"/>
      <c r="F26" s="476"/>
      <c r="H26" s="477" t="str">
        <f t="shared" si="0"/>
        <v/>
      </c>
      <c r="J26" s="483"/>
    </row>
    <row r="27" spans="1:10" ht="20.25" customHeight="1" x14ac:dyDescent="0.2">
      <c r="A27" s="471"/>
      <c r="B27" s="471"/>
      <c r="C27" s="471"/>
      <c r="D27" s="471"/>
      <c r="E27" s="471"/>
      <c r="F27" s="476"/>
      <c r="H27" s="477" t="str">
        <f t="shared" si="0"/>
        <v/>
      </c>
      <c r="J27" s="483"/>
    </row>
    <row r="28" spans="1:10" ht="20.25" customHeight="1" x14ac:dyDescent="0.2">
      <c r="A28" s="471"/>
      <c r="B28" s="471"/>
      <c r="C28" s="471"/>
      <c r="D28" s="471"/>
      <c r="E28" s="471"/>
      <c r="F28" s="476"/>
      <c r="H28" s="477" t="str">
        <f t="shared" si="0"/>
        <v/>
      </c>
      <c r="J28" s="483"/>
    </row>
    <row r="29" spans="1:10" ht="20.25" customHeight="1" x14ac:dyDescent="0.2">
      <c r="A29" s="471"/>
      <c r="B29" s="471"/>
      <c r="C29" s="471"/>
      <c r="D29" s="471"/>
      <c r="E29" s="471"/>
      <c r="F29" s="476"/>
      <c r="H29" s="477" t="str">
        <f t="shared" si="0"/>
        <v/>
      </c>
      <c r="J29" s="483"/>
    </row>
    <row r="30" spans="1:10" ht="20.25" customHeight="1" x14ac:dyDescent="0.2">
      <c r="A30" s="471"/>
      <c r="B30" s="471"/>
      <c r="C30" s="471"/>
      <c r="D30" s="471"/>
      <c r="E30" s="471"/>
      <c r="F30" s="476"/>
      <c r="H30" s="477" t="str">
        <f t="shared" si="0"/>
        <v/>
      </c>
      <c r="J30" s="483"/>
    </row>
    <row r="31" spans="1:10" ht="20.25" customHeight="1" x14ac:dyDescent="0.2">
      <c r="A31" s="471"/>
      <c r="B31" s="471"/>
      <c r="C31" s="471"/>
      <c r="D31" s="471"/>
      <c r="E31" s="471"/>
      <c r="F31" s="476"/>
      <c r="H31" s="477" t="str">
        <f t="shared" si="0"/>
        <v/>
      </c>
      <c r="J31" s="483"/>
    </row>
    <row r="32" spans="1:10" ht="20.25" customHeight="1" x14ac:dyDescent="0.2">
      <c r="A32" s="471"/>
      <c r="B32" s="471"/>
      <c r="C32" s="471"/>
      <c r="D32" s="471"/>
      <c r="E32" s="471"/>
      <c r="F32" s="476"/>
      <c r="H32" s="477" t="str">
        <f t="shared" si="0"/>
        <v/>
      </c>
      <c r="J32" s="484"/>
    </row>
    <row r="33" spans="1:10" ht="20.25" customHeight="1" x14ac:dyDescent="0.2">
      <c r="A33" s="471"/>
      <c r="B33" s="471"/>
      <c r="C33" s="471"/>
      <c r="D33" s="471"/>
      <c r="E33" s="471"/>
      <c r="F33" s="476"/>
      <c r="H33" s="477" t="str">
        <f t="shared" si="0"/>
        <v/>
      </c>
      <c r="J33" s="484"/>
    </row>
    <row r="34" spans="1:10" ht="20.25" customHeight="1" x14ac:dyDescent="0.2">
      <c r="A34" s="471"/>
      <c r="B34" s="471"/>
      <c r="C34" s="471"/>
      <c r="D34" s="471"/>
      <c r="E34" s="471"/>
      <c r="F34" s="476"/>
      <c r="H34" s="477" t="str">
        <f t="shared" si="0"/>
        <v/>
      </c>
      <c r="J34" s="484"/>
    </row>
    <row r="35" spans="1:10" ht="20.25" customHeight="1" x14ac:dyDescent="0.2">
      <c r="A35" s="471"/>
      <c r="B35" s="471"/>
      <c r="C35" s="471"/>
      <c r="D35" s="471"/>
      <c r="E35" s="471"/>
      <c r="F35" s="476"/>
      <c r="H35" s="477" t="str">
        <f t="shared" si="0"/>
        <v/>
      </c>
      <c r="J35" s="484"/>
    </row>
    <row r="36" spans="1:10" ht="20.25" customHeight="1" x14ac:dyDescent="0.2">
      <c r="A36" s="471"/>
      <c r="B36" s="471"/>
      <c r="C36" s="471"/>
      <c r="D36" s="471"/>
      <c r="E36" s="471"/>
      <c r="F36" s="476"/>
      <c r="H36" s="477" t="str">
        <f t="shared" si="0"/>
        <v/>
      </c>
      <c r="J36" s="484"/>
    </row>
    <row r="37" spans="1:10" ht="20.25" customHeight="1" x14ac:dyDescent="0.2">
      <c r="A37" s="471"/>
      <c r="B37" s="471"/>
      <c r="C37" s="471"/>
      <c r="D37" s="471"/>
      <c r="E37" s="471"/>
      <c r="F37" s="476"/>
      <c r="H37" s="477" t="str">
        <f t="shared" si="0"/>
        <v/>
      </c>
      <c r="J37" s="484"/>
    </row>
    <row r="38" spans="1:10" ht="20.25" customHeight="1" x14ac:dyDescent="0.2">
      <c r="A38" s="471"/>
      <c r="B38" s="471"/>
      <c r="C38" s="471"/>
      <c r="D38" s="471"/>
      <c r="E38" s="471"/>
      <c r="F38" s="476"/>
      <c r="H38" s="477" t="str">
        <f t="shared" si="0"/>
        <v/>
      </c>
      <c r="J38" s="484"/>
    </row>
    <row r="39" spans="1:10" ht="20.25" customHeight="1" x14ac:dyDescent="0.2">
      <c r="A39" s="471"/>
      <c r="B39" s="471"/>
      <c r="C39" s="471"/>
      <c r="D39" s="471"/>
      <c r="E39" s="471"/>
      <c r="F39" s="476"/>
      <c r="H39" s="477" t="str">
        <f t="shared" si="0"/>
        <v/>
      </c>
      <c r="J39" s="484"/>
    </row>
    <row r="40" spans="1:10" ht="20.25" customHeight="1" x14ac:dyDescent="0.2">
      <c r="A40" s="471"/>
      <c r="B40" s="471"/>
      <c r="C40" s="471"/>
      <c r="D40" s="471"/>
      <c r="E40" s="471"/>
      <c r="F40" s="476"/>
      <c r="H40" s="477" t="str">
        <f t="shared" si="0"/>
        <v/>
      </c>
      <c r="J40" s="484"/>
    </row>
    <row r="41" spans="1:10" ht="20.25" customHeight="1" x14ac:dyDescent="0.2">
      <c r="A41" s="471"/>
      <c r="B41" s="471"/>
      <c r="C41" s="471"/>
      <c r="D41" s="471"/>
      <c r="E41" s="471"/>
      <c r="F41" s="476"/>
      <c r="H41" s="477" t="str">
        <f t="shared" si="0"/>
        <v/>
      </c>
      <c r="J41" s="484"/>
    </row>
    <row r="42" spans="1:10" ht="20.25" customHeight="1" x14ac:dyDescent="0.2">
      <c r="A42" s="471"/>
      <c r="B42" s="471"/>
      <c r="C42" s="471"/>
      <c r="D42" s="471"/>
      <c r="E42" s="471"/>
      <c r="F42" s="476"/>
      <c r="H42" s="477" t="str">
        <f t="shared" si="0"/>
        <v/>
      </c>
      <c r="J42" s="484"/>
    </row>
    <row r="43" spans="1:10" ht="20.25" customHeight="1" x14ac:dyDescent="0.2">
      <c r="A43" s="471"/>
      <c r="B43" s="471"/>
      <c r="C43" s="471"/>
      <c r="D43" s="471"/>
      <c r="E43" s="471"/>
      <c r="F43" s="476"/>
      <c r="H43" s="477" t="str">
        <f t="shared" si="0"/>
        <v/>
      </c>
      <c r="J43" s="484"/>
    </row>
    <row r="44" spans="1:10" ht="20.25" customHeight="1" x14ac:dyDescent="0.2">
      <c r="A44" s="471"/>
      <c r="B44" s="471"/>
      <c r="C44" s="471"/>
      <c r="D44" s="471"/>
      <c r="E44" s="471"/>
      <c r="F44" s="476"/>
      <c r="H44" s="477" t="str">
        <f t="shared" si="0"/>
        <v/>
      </c>
      <c r="J44" s="475"/>
    </row>
    <row r="45" spans="1:10" ht="20.25" customHeight="1" x14ac:dyDescent="0.2">
      <c r="A45" s="471"/>
      <c r="B45" s="471"/>
      <c r="C45" s="471"/>
      <c r="D45" s="471"/>
      <c r="E45" s="471"/>
      <c r="F45" s="476"/>
      <c r="H45" s="477" t="str">
        <f t="shared" si="0"/>
        <v/>
      </c>
      <c r="J45" s="475"/>
    </row>
    <row r="46" spans="1:10" ht="20.25" customHeight="1" x14ac:dyDescent="0.2">
      <c r="A46" s="471"/>
      <c r="B46" s="471"/>
      <c r="C46" s="471"/>
      <c r="D46" s="471"/>
      <c r="E46" s="471"/>
      <c r="F46" s="476"/>
      <c r="H46" s="477" t="str">
        <f t="shared" si="0"/>
        <v/>
      </c>
      <c r="J46" s="475"/>
    </row>
    <row r="47" spans="1:10" ht="16.899999999999999" customHeight="1" x14ac:dyDescent="0.2">
      <c r="A47" s="485"/>
      <c r="B47" s="486"/>
      <c r="C47" s="486"/>
      <c r="D47" s="486"/>
    </row>
    <row r="48" spans="1:10" x14ac:dyDescent="0.2">
      <c r="A48" s="487" t="s">
        <v>715</v>
      </c>
    </row>
    <row r="49" spans="1:10" x14ac:dyDescent="0.2">
      <c r="A49" s="567"/>
      <c r="B49" s="567"/>
      <c r="C49" s="567"/>
      <c r="D49" s="567"/>
      <c r="E49" s="567"/>
      <c r="F49" s="567"/>
      <c r="G49" s="475"/>
      <c r="H49" s="475"/>
    </row>
    <row r="50" spans="1:10" ht="39.75" customHeight="1" x14ac:dyDescent="0.2">
      <c r="A50" s="565" t="s">
        <v>716</v>
      </c>
      <c r="B50" s="565"/>
      <c r="C50" s="565"/>
      <c r="D50" s="565"/>
      <c r="E50" s="565"/>
      <c r="F50" s="565"/>
      <c r="I50" s="475"/>
    </row>
    <row r="51" spans="1:10" x14ac:dyDescent="0.2">
      <c r="A51" s="565" t="s">
        <v>724</v>
      </c>
      <c r="B51" s="565"/>
      <c r="C51" s="565"/>
      <c r="D51" s="565"/>
      <c r="E51" s="565"/>
      <c r="F51" s="565"/>
      <c r="H51" s="475"/>
      <c r="I51" s="475"/>
      <c r="J51" s="475"/>
    </row>
    <row r="52" spans="1:10" x14ac:dyDescent="0.2">
      <c r="A52" s="565" t="s">
        <v>717</v>
      </c>
      <c r="B52" s="565"/>
      <c r="C52" s="565"/>
      <c r="D52" s="565"/>
      <c r="E52" s="565"/>
      <c r="F52" s="565"/>
      <c r="G52" s="475"/>
      <c r="H52" s="475"/>
      <c r="I52" s="475"/>
      <c r="J52" s="492"/>
    </row>
    <row r="53" spans="1:10" x14ac:dyDescent="0.2">
      <c r="A53" s="568" t="s">
        <v>718</v>
      </c>
      <c r="B53" s="568"/>
      <c r="C53" s="568"/>
      <c r="D53" s="568"/>
      <c r="E53" s="568"/>
      <c r="F53" s="568"/>
      <c r="G53" s="475"/>
      <c r="H53" s="475"/>
      <c r="I53" s="475"/>
    </row>
    <row r="54" spans="1:10" ht="20.25" customHeight="1" x14ac:dyDescent="0.2">
      <c r="A54" s="565" t="s">
        <v>719</v>
      </c>
      <c r="B54" s="565"/>
      <c r="C54" s="565"/>
      <c r="D54" s="565"/>
      <c r="E54" s="565"/>
      <c r="F54" s="565"/>
      <c r="H54" s="475"/>
      <c r="I54" s="475"/>
    </row>
    <row r="55" spans="1:10" x14ac:dyDescent="0.2">
      <c r="A55" s="566" t="s">
        <v>720</v>
      </c>
      <c r="B55" s="566"/>
      <c r="C55" s="566"/>
      <c r="D55" s="566"/>
      <c r="E55" s="566"/>
      <c r="F55" s="566"/>
      <c r="H55" s="475"/>
      <c r="I55" s="475"/>
    </row>
    <row r="56" spans="1:10" x14ac:dyDescent="0.2">
      <c r="H56" s="475"/>
      <c r="I56" s="475"/>
    </row>
    <row r="57" spans="1:10" x14ac:dyDescent="0.2">
      <c r="H57" s="475"/>
      <c r="I57" s="475"/>
    </row>
    <row r="58" spans="1:10" ht="35.25" customHeight="1" x14ac:dyDescent="0.2"/>
    <row r="59" spans="1:10" ht="17.25" customHeight="1" x14ac:dyDescent="0.2"/>
    <row r="60" spans="1:10" ht="15" customHeight="1" x14ac:dyDescent="0.2">
      <c r="G60" s="488"/>
      <c r="I60" s="488"/>
    </row>
    <row r="61" spans="1:10" x14ac:dyDescent="0.2">
      <c r="G61" s="488"/>
      <c r="I61" s="488"/>
    </row>
    <row r="62" spans="1:10" ht="29.25" customHeight="1" x14ac:dyDescent="0.2">
      <c r="G62" s="488"/>
      <c r="I62" s="488"/>
    </row>
    <row r="63" spans="1:10" x14ac:dyDescent="0.2">
      <c r="G63" s="488"/>
      <c r="I63" s="488"/>
    </row>
    <row r="64" spans="1:10" x14ac:dyDescent="0.2">
      <c r="A64" s="567"/>
      <c r="B64" s="567"/>
      <c r="C64" s="567"/>
      <c r="D64" s="567"/>
      <c r="E64" s="567"/>
      <c r="F64" s="567"/>
    </row>
    <row r="65" spans="1:6" x14ac:dyDescent="0.2">
      <c r="A65" s="567"/>
      <c r="B65" s="567"/>
      <c r="C65" s="567"/>
      <c r="D65" s="567"/>
      <c r="E65" s="567"/>
      <c r="F65" s="567"/>
    </row>
  </sheetData>
  <sheetProtection password="D3B7" sheet="1" objects="1" scenarios="1"/>
  <protectedRanges>
    <protectedRange sqref="C6:C8 E8 E11:E12 C16 A17:F46" name="Plage1"/>
  </protectedRanges>
  <mergeCells count="15">
    <mergeCell ref="B3:F3"/>
    <mergeCell ref="B4:C5"/>
    <mergeCell ref="E10:F10"/>
    <mergeCell ref="A16:B16"/>
    <mergeCell ref="B1:F1"/>
    <mergeCell ref="B2:F2"/>
    <mergeCell ref="A54:F54"/>
    <mergeCell ref="A55:F55"/>
    <mergeCell ref="A64:F64"/>
    <mergeCell ref="A65:F65"/>
    <mergeCell ref="A49:F49"/>
    <mergeCell ref="A50:F50"/>
    <mergeCell ref="A51:F51"/>
    <mergeCell ref="A52:F52"/>
    <mergeCell ref="A53:F53"/>
  </mergeCells>
  <conditionalFormatting sqref="F21">
    <cfRule type="cellIs" dxfId="20" priority="4" operator="equal">
      <formula>$J$17</formula>
    </cfRule>
    <cfRule type="cellIs" dxfId="19" priority="5" operator="equal">
      <formula>$J$18</formula>
    </cfRule>
    <cfRule type="cellIs" dxfId="18" priority="6" operator="equal">
      <formula>$J$19</formula>
    </cfRule>
  </conditionalFormatting>
  <conditionalFormatting sqref="F22">
    <cfRule type="cellIs" dxfId="17" priority="7" operator="equal">
      <formula>$J$17</formula>
    </cfRule>
    <cfRule type="cellIs" dxfId="16" priority="8" operator="equal">
      <formula>$J$18</formula>
    </cfRule>
    <cfRule type="cellIs" dxfId="15" priority="9" operator="equal">
      <formula>$J$19</formula>
    </cfRule>
  </conditionalFormatting>
  <conditionalFormatting sqref="F26">
    <cfRule type="cellIs" dxfId="14" priority="10" operator="equal">
      <formula>$J$17</formula>
    </cfRule>
    <cfRule type="cellIs" dxfId="13" priority="11" operator="equal">
      <formula>$J$18</formula>
    </cfRule>
    <cfRule type="cellIs" dxfId="12" priority="12" operator="equal">
      <formula>$J$19</formula>
    </cfRule>
  </conditionalFormatting>
  <conditionalFormatting sqref="F23">
    <cfRule type="cellIs" dxfId="11" priority="13" operator="equal">
      <formula>$J$17</formula>
    </cfRule>
    <cfRule type="cellIs" dxfId="10" priority="14" operator="equal">
      <formula>$J$18</formula>
    </cfRule>
    <cfRule type="cellIs" dxfId="9" priority="15" operator="equal">
      <formula>$J$19</formula>
    </cfRule>
  </conditionalFormatting>
  <conditionalFormatting sqref="F24">
    <cfRule type="cellIs" dxfId="8" priority="16" operator="equal">
      <formula>$J$17</formula>
    </cfRule>
    <cfRule type="cellIs" dxfId="7" priority="17" operator="equal">
      <formula>$J$18</formula>
    </cfRule>
    <cfRule type="cellIs" dxfId="6" priority="18" operator="equal">
      <formula>$J$19</formula>
    </cfRule>
  </conditionalFormatting>
  <conditionalFormatting sqref="F25">
    <cfRule type="cellIs" dxfId="5" priority="19" operator="equal">
      <formula>$J$17</formula>
    </cfRule>
    <cfRule type="cellIs" dxfId="4" priority="20" operator="equal">
      <formula>$J$18</formula>
    </cfRule>
    <cfRule type="cellIs" dxfId="3" priority="21" operator="equal">
      <formula>$J$19</formula>
    </cfRule>
  </conditionalFormatting>
  <conditionalFormatting sqref="F17:F46">
    <cfRule type="cellIs" dxfId="2" priority="1" operator="equal">
      <formula>$J$17</formula>
    </cfRule>
    <cfRule type="cellIs" dxfId="1" priority="2" operator="equal">
      <formula>$J$18</formula>
    </cfRule>
    <cfRule type="cellIs" dxfId="0" priority="3" operator="equal">
      <formula>$J$19</formula>
    </cfRule>
  </conditionalFormatting>
  <dataValidations disablePrompts="1" count="3">
    <dataValidation showInputMessage="1" showErrorMessage="1" sqref="C6:C7"/>
    <dataValidation type="list" allowBlank="1" showErrorMessage="1" sqref="F17">
      <formula1>$J$17:$J$19</formula1>
    </dataValidation>
    <dataValidation type="list" allowBlank="1" showInputMessage="1" showErrorMessage="1" sqref="F18:F46">
      <formula1>$J$17:$J$19</formula1>
    </dataValidation>
  </dataValidations>
  <hyperlinks>
    <hyperlink ref="A53" r:id="rId1" display="https://ephy.anses.fr/recherche_avancee/ppp"/>
    <hyperlink ref="A55" r:id="rId2" display="http://www.calculette-ift.fr/"/>
  </hyperlinks>
  <pageMargins left="0.7" right="0.7" top="0.46401515151515149" bottom="0.75" header="0.3" footer="0.3"/>
  <pageSetup paperSize="9" scale="67" firstPageNumber="0" orientation="portrait" r:id="rId3"/>
  <rowBreaks count="1" manualBreakCount="1">
    <brk id="63" max="16383" man="1"/>
  </rowBreaks>
  <colBreaks count="1" manualBreakCount="1">
    <brk id="6" max="1048575" man="1"/>
  </colBreaks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</sheetPr>
  <dimension ref="A1:J41"/>
  <sheetViews>
    <sheetView zoomScale="85" zoomScaleNormal="85" workbookViewId="0">
      <selection activeCell="B6" sqref="B6"/>
    </sheetView>
  </sheetViews>
  <sheetFormatPr baseColWidth="10" defaultColWidth="11.5703125" defaultRowHeight="12.75" x14ac:dyDescent="0.2"/>
  <cols>
    <col min="1" max="1" width="34.42578125" style="45" customWidth="1"/>
    <col min="2" max="2" width="14.5703125" style="45" customWidth="1"/>
    <col min="3" max="3" width="19.42578125" style="45" customWidth="1"/>
    <col min="4" max="4" width="17.140625" style="45" customWidth="1"/>
    <col min="5" max="5" width="21" style="45" customWidth="1"/>
    <col min="6" max="6" width="17.140625" style="45" customWidth="1"/>
    <col min="7" max="7" width="11.5703125" style="45"/>
    <col min="8" max="8" width="42.85546875" style="45" customWidth="1"/>
    <col min="9" max="9" width="11.5703125" style="45"/>
    <col min="10" max="10" width="13.5703125" style="45" customWidth="1"/>
    <col min="11" max="16384" width="11.5703125" style="45"/>
  </cols>
  <sheetData>
    <row r="1" spans="1:10" customFormat="1" ht="122.25" customHeight="1" x14ac:dyDescent="0.2">
      <c r="B1" s="505" t="s">
        <v>682</v>
      </c>
      <c r="C1" s="505"/>
      <c r="D1" s="505"/>
      <c r="E1" s="505"/>
      <c r="F1" s="505"/>
      <c r="G1" s="505"/>
      <c r="H1" s="505"/>
      <c r="I1" s="505"/>
      <c r="J1" s="505"/>
    </row>
    <row r="2" spans="1:10" s="89" customFormat="1" ht="29.1" customHeight="1" x14ac:dyDescent="0.2">
      <c r="A2" s="583" t="s">
        <v>544</v>
      </c>
      <c r="B2" s="583"/>
      <c r="C2" s="90"/>
      <c r="D2" s="91"/>
      <c r="E2" s="26"/>
      <c r="F2" s="591"/>
      <c r="G2" s="591"/>
      <c r="H2" s="591"/>
      <c r="I2" s="26"/>
      <c r="J2" s="26"/>
    </row>
    <row r="3" spans="1:10" s="89" customFormat="1" ht="29.1" customHeight="1" x14ac:dyDescent="0.2">
      <c r="A3" s="92" t="s">
        <v>90</v>
      </c>
      <c r="B3" s="399"/>
      <c r="C3" s="90"/>
      <c r="D3" s="91"/>
      <c r="E3" s="26"/>
      <c r="F3" s="26"/>
      <c r="H3" s="26"/>
      <c r="I3" s="26"/>
      <c r="J3" s="26"/>
    </row>
    <row r="4" spans="1:10" s="89" customFormat="1" ht="29.1" customHeight="1" thickBot="1" x14ac:dyDescent="0.25">
      <c r="A4" s="583"/>
      <c r="B4" s="583"/>
      <c r="C4" s="26"/>
      <c r="D4" s="26"/>
      <c r="E4" s="26"/>
      <c r="F4" s="26"/>
      <c r="H4" s="26"/>
      <c r="I4" s="26"/>
      <c r="J4" s="26"/>
    </row>
    <row r="5" spans="1:10" ht="41.1" customHeight="1" x14ac:dyDescent="0.2">
      <c r="A5" s="164" t="s">
        <v>91</v>
      </c>
      <c r="B5" s="165" t="s">
        <v>92</v>
      </c>
      <c r="C5" s="157" t="s">
        <v>154</v>
      </c>
      <c r="D5" s="158" t="s">
        <v>93</v>
      </c>
      <c r="E5" s="136" t="s">
        <v>94</v>
      </c>
      <c r="F5" s="137" t="s">
        <v>155</v>
      </c>
      <c r="H5" s="136" t="s">
        <v>95</v>
      </c>
      <c r="I5" s="143" t="s">
        <v>96</v>
      </c>
      <c r="J5" s="137" t="s">
        <v>156</v>
      </c>
    </row>
    <row r="6" spans="1:10" ht="20.100000000000001" customHeight="1" x14ac:dyDescent="0.2">
      <c r="A6" s="159" t="s">
        <v>608</v>
      </c>
      <c r="B6" s="169"/>
      <c r="C6" s="133" t="s">
        <v>97</v>
      </c>
      <c r="D6" s="400">
        <f>B6*45.6</f>
        <v>0</v>
      </c>
      <c r="E6" s="138" t="s">
        <v>98</v>
      </c>
      <c r="F6" s="400">
        <f>B6*3.24</f>
        <v>0</v>
      </c>
      <c r="H6" s="144" t="s">
        <v>99</v>
      </c>
      <c r="I6" s="171"/>
      <c r="J6" s="132">
        <f>I6*1.5</f>
        <v>0</v>
      </c>
    </row>
    <row r="7" spans="1:10" ht="20.100000000000001" customHeight="1" x14ac:dyDescent="0.2">
      <c r="A7" s="159" t="s">
        <v>609</v>
      </c>
      <c r="B7" s="169"/>
      <c r="C7" s="133" t="s">
        <v>100</v>
      </c>
      <c r="D7" s="400">
        <f>B7*10.4</f>
        <v>0</v>
      </c>
      <c r="E7" s="139" t="s">
        <v>101</v>
      </c>
      <c r="F7" s="400">
        <f>B7*0.078</f>
        <v>0</v>
      </c>
      <c r="H7" s="145" t="s">
        <v>102</v>
      </c>
      <c r="I7" s="172"/>
      <c r="J7" s="132">
        <f>I7*117.7</f>
        <v>0</v>
      </c>
    </row>
    <row r="8" spans="1:10" ht="20.100000000000001" customHeight="1" x14ac:dyDescent="0.2">
      <c r="A8" s="159" t="s">
        <v>610</v>
      </c>
      <c r="B8" s="169"/>
      <c r="C8" s="133" t="s">
        <v>103</v>
      </c>
      <c r="D8" s="400">
        <f>B8*55.7</f>
        <v>0</v>
      </c>
      <c r="E8" s="139" t="s">
        <v>104</v>
      </c>
      <c r="F8" s="400">
        <f>B8*3.41</f>
        <v>0</v>
      </c>
      <c r="H8" s="145" t="s">
        <v>105</v>
      </c>
      <c r="I8" s="172"/>
      <c r="J8" s="132">
        <f>I8*25</f>
        <v>0</v>
      </c>
    </row>
    <row r="9" spans="1:10" ht="20.100000000000001" customHeight="1" x14ac:dyDescent="0.2">
      <c r="A9" s="160" t="s">
        <v>611</v>
      </c>
      <c r="B9" s="169"/>
      <c r="C9" s="134" t="s">
        <v>106</v>
      </c>
      <c r="D9" s="400">
        <f>B9*54.3</f>
        <v>0</v>
      </c>
      <c r="E9" s="140" t="s">
        <v>107</v>
      </c>
      <c r="F9" s="400">
        <f>B9*5.334</f>
        <v>0</v>
      </c>
      <c r="H9" s="145" t="s">
        <v>108</v>
      </c>
      <c r="I9" s="172"/>
      <c r="J9" s="132">
        <f>I9*62.1</f>
        <v>0</v>
      </c>
    </row>
    <row r="10" spans="1:10" ht="20.100000000000001" customHeight="1" x14ac:dyDescent="0.2">
      <c r="A10" s="161" t="s">
        <v>612</v>
      </c>
      <c r="B10" s="169"/>
      <c r="C10" s="135" t="s">
        <v>109</v>
      </c>
      <c r="D10" s="400">
        <f>B10*2.7</f>
        <v>0</v>
      </c>
      <c r="E10" s="141" t="s">
        <v>110</v>
      </c>
      <c r="F10" s="400">
        <f>B10*0.354</f>
        <v>0</v>
      </c>
      <c r="H10" s="145" t="s">
        <v>111</v>
      </c>
      <c r="I10" s="172"/>
      <c r="J10" s="132">
        <f>I10*50.9</f>
        <v>0</v>
      </c>
    </row>
    <row r="11" spans="1:10" ht="20.100000000000001" customHeight="1" x14ac:dyDescent="0.2">
      <c r="A11" s="161" t="s">
        <v>613</v>
      </c>
      <c r="B11" s="169"/>
      <c r="C11" s="135" t="s">
        <v>112</v>
      </c>
      <c r="D11" s="400">
        <f>B11*5.7</f>
        <v>0</v>
      </c>
      <c r="E11" s="141" t="s">
        <v>113</v>
      </c>
      <c r="F11" s="400">
        <f>B11*1.579</f>
        <v>0</v>
      </c>
      <c r="H11" s="145" t="s">
        <v>114</v>
      </c>
      <c r="I11" s="172"/>
      <c r="J11" s="132">
        <f>I11*38.7</f>
        <v>0</v>
      </c>
    </row>
    <row r="12" spans="1:10" ht="20.100000000000001" customHeight="1" x14ac:dyDescent="0.2">
      <c r="A12" s="161" t="s">
        <v>614</v>
      </c>
      <c r="B12" s="169"/>
      <c r="C12" s="135" t="s">
        <v>115</v>
      </c>
      <c r="D12" s="400">
        <f>B12*3.3</f>
        <v>0</v>
      </c>
      <c r="E12" s="142" t="s">
        <v>116</v>
      </c>
      <c r="F12" s="400">
        <f>B12*0.46</f>
        <v>0</v>
      </c>
      <c r="H12" s="146" t="s">
        <v>117</v>
      </c>
      <c r="I12" s="172"/>
      <c r="J12" s="132">
        <f>I12*72</f>
        <v>0</v>
      </c>
    </row>
    <row r="13" spans="1:10" ht="20.100000000000001" customHeight="1" x14ac:dyDescent="0.2">
      <c r="A13" s="161" t="s">
        <v>615</v>
      </c>
      <c r="B13" s="169"/>
      <c r="C13" s="135" t="s">
        <v>118</v>
      </c>
      <c r="D13" s="400">
        <f>B13*3.2</f>
        <v>0</v>
      </c>
      <c r="E13" s="142" t="s">
        <v>119</v>
      </c>
      <c r="F13" s="400">
        <f>B13*0.294</f>
        <v>0</v>
      </c>
      <c r="H13" s="146" t="s">
        <v>120</v>
      </c>
      <c r="I13" s="172"/>
      <c r="J13" s="132">
        <f>I13*18.075</f>
        <v>0</v>
      </c>
    </row>
    <row r="14" spans="1:10" ht="20.100000000000001" customHeight="1" x14ac:dyDescent="0.2">
      <c r="A14" s="161" t="s">
        <v>616</v>
      </c>
      <c r="B14" s="169"/>
      <c r="C14" s="135" t="s">
        <v>121</v>
      </c>
      <c r="D14" s="400">
        <f>B14*13.2</f>
        <v>0</v>
      </c>
      <c r="E14" s="142" t="s">
        <v>122</v>
      </c>
      <c r="F14" s="400">
        <f>B14*0.961</f>
        <v>0</v>
      </c>
      <c r="H14" s="146" t="s">
        <v>123</v>
      </c>
      <c r="I14" s="172"/>
      <c r="J14" s="132">
        <f>I14*6.025</f>
        <v>0</v>
      </c>
    </row>
    <row r="15" spans="1:10" ht="20.100000000000001" customHeight="1" x14ac:dyDescent="0.2">
      <c r="A15" s="161" t="s">
        <v>617</v>
      </c>
      <c r="B15" s="169"/>
      <c r="C15" s="135" t="s">
        <v>124</v>
      </c>
      <c r="D15" s="400">
        <f>B15*2.5</f>
        <v>0</v>
      </c>
      <c r="E15" s="142" t="s">
        <v>125</v>
      </c>
      <c r="F15" s="400">
        <f>B15*0.3</f>
        <v>0</v>
      </c>
      <c r="H15" s="146" t="s">
        <v>126</v>
      </c>
      <c r="I15" s="172"/>
      <c r="J15" s="132">
        <f>I15*58.3</f>
        <v>0</v>
      </c>
    </row>
    <row r="16" spans="1:10" ht="26.25" customHeight="1" x14ac:dyDescent="0.2">
      <c r="A16" s="161" t="s">
        <v>618</v>
      </c>
      <c r="B16" s="169"/>
      <c r="C16" s="135" t="s">
        <v>127</v>
      </c>
      <c r="D16" s="400">
        <f>B16*4</f>
        <v>0</v>
      </c>
      <c r="E16" s="142" t="s">
        <v>128</v>
      </c>
      <c r="F16" s="400">
        <f>B16*0.6</f>
        <v>0</v>
      </c>
      <c r="H16" s="146" t="s">
        <v>129</v>
      </c>
      <c r="I16" s="172"/>
      <c r="J16" s="132">
        <f>I16*68.2</f>
        <v>0</v>
      </c>
    </row>
    <row r="17" spans="1:10" ht="20.100000000000001" customHeight="1" x14ac:dyDescent="0.2">
      <c r="A17" s="161" t="s">
        <v>619</v>
      </c>
      <c r="B17" s="169"/>
      <c r="C17" s="135" t="s">
        <v>130</v>
      </c>
      <c r="D17" s="400">
        <f>B17*43.3</f>
        <v>0</v>
      </c>
      <c r="E17" s="142" t="s">
        <v>131</v>
      </c>
      <c r="F17" s="400">
        <f>B17*0.11</f>
        <v>0</v>
      </c>
      <c r="H17" s="146" t="s">
        <v>132</v>
      </c>
      <c r="I17" s="172"/>
      <c r="J17" s="132">
        <f>I17*18.075</f>
        <v>0</v>
      </c>
    </row>
    <row r="18" spans="1:10" ht="20.100000000000001" customHeight="1" thickBot="1" x14ac:dyDescent="0.25">
      <c r="A18" s="162" t="s">
        <v>620</v>
      </c>
      <c r="B18" s="170"/>
      <c r="C18" s="163" t="s">
        <v>133</v>
      </c>
      <c r="D18" s="401">
        <f>B18*87</f>
        <v>0</v>
      </c>
      <c r="E18" s="149" t="s">
        <v>134</v>
      </c>
      <c r="F18" s="402">
        <f>B18*2.59</f>
        <v>0</v>
      </c>
      <c r="H18" s="146" t="s">
        <v>135</v>
      </c>
      <c r="I18" s="172"/>
      <c r="J18" s="132">
        <f>I18*6.025</f>
        <v>0</v>
      </c>
    </row>
    <row r="19" spans="1:10" ht="20.100000000000001" customHeight="1" thickBot="1" x14ac:dyDescent="0.25">
      <c r="A19" s="11"/>
      <c r="B19" s="11"/>
      <c r="C19" s="155" t="s">
        <v>136</v>
      </c>
      <c r="D19" s="156">
        <f>SUM(D6:D18)</f>
        <v>0</v>
      </c>
      <c r="E19" s="151" t="s">
        <v>137</v>
      </c>
      <c r="F19" s="150">
        <f>SUM(F6:F18)</f>
        <v>0</v>
      </c>
      <c r="H19" s="146" t="s">
        <v>138</v>
      </c>
      <c r="I19" s="172"/>
      <c r="J19" s="132">
        <f>I19*52.4</f>
        <v>0</v>
      </c>
    </row>
    <row r="20" spans="1:10" ht="20.100000000000001" customHeight="1" x14ac:dyDescent="0.2">
      <c r="A20"/>
      <c r="B20" s="93"/>
      <c r="C20" s="152" t="s">
        <v>139</v>
      </c>
      <c r="D20" s="153">
        <f>D19*0.028</f>
        <v>0</v>
      </c>
      <c r="E20"/>
      <c r="F20"/>
      <c r="H20" s="146" t="s">
        <v>546</v>
      </c>
      <c r="I20" s="172"/>
      <c r="J20" s="132">
        <f>I20*52.3</f>
        <v>0</v>
      </c>
    </row>
    <row r="21" spans="1:10" ht="20.100000000000001" customHeight="1" thickBot="1" x14ac:dyDescent="0.25">
      <c r="C21" s="154" t="s">
        <v>140</v>
      </c>
      <c r="D21" s="403" t="str">
        <f>IF(B3=0,"",D20/B3)</f>
        <v/>
      </c>
      <c r="E21" s="26"/>
      <c r="F21" s="29"/>
      <c r="H21" s="147" t="s">
        <v>141</v>
      </c>
      <c r="I21" s="172"/>
      <c r="J21" s="132">
        <f>I21*14.7</f>
        <v>0</v>
      </c>
    </row>
    <row r="22" spans="1:10" ht="20.100000000000001" customHeight="1" x14ac:dyDescent="0.2">
      <c r="C22" s="26"/>
      <c r="D22" s="29"/>
      <c r="E22"/>
      <c r="F22"/>
      <c r="H22" s="147" t="s">
        <v>142</v>
      </c>
      <c r="I22" s="172"/>
      <c r="J22" s="132">
        <f>I22*14.4</f>
        <v>0</v>
      </c>
    </row>
    <row r="23" spans="1:10" ht="20.100000000000001" customHeight="1" x14ac:dyDescent="0.2">
      <c r="A23" s="586" t="s">
        <v>659</v>
      </c>
      <c r="B23" s="587"/>
      <c r="C23" s="584" t="s">
        <v>660</v>
      </c>
      <c r="D23" s="584" t="s">
        <v>661</v>
      </c>
      <c r="E23" s="584" t="s">
        <v>369</v>
      </c>
      <c r="H23" s="147" t="s">
        <v>143</v>
      </c>
      <c r="I23" s="172"/>
      <c r="J23" s="132">
        <f>I23*7.6</f>
        <v>0</v>
      </c>
    </row>
    <row r="24" spans="1:10" ht="20.100000000000001" customHeight="1" x14ac:dyDescent="0.2">
      <c r="A24" s="588"/>
      <c r="B24" s="589"/>
      <c r="C24" s="585"/>
      <c r="D24" s="585"/>
      <c r="E24" s="585"/>
      <c r="H24" s="147" t="s">
        <v>144</v>
      </c>
      <c r="I24" s="172"/>
      <c r="J24" s="132">
        <f>I24*1</f>
        <v>0</v>
      </c>
    </row>
    <row r="25" spans="1:10" ht="20.100000000000001" customHeight="1" x14ac:dyDescent="0.2">
      <c r="A25" s="579" t="s">
        <v>662</v>
      </c>
      <c r="B25" s="579"/>
      <c r="C25" s="438"/>
      <c r="D25" s="439">
        <v>0.73</v>
      </c>
      <c r="E25" s="440">
        <f>C25*D25</f>
        <v>0</v>
      </c>
      <c r="H25" s="147" t="s">
        <v>145</v>
      </c>
      <c r="I25" s="172"/>
      <c r="J25" s="132">
        <f>I25*11</f>
        <v>0</v>
      </c>
    </row>
    <row r="26" spans="1:10" ht="28.5" customHeight="1" x14ac:dyDescent="0.2">
      <c r="A26" s="579" t="s">
        <v>663</v>
      </c>
      <c r="B26" s="579"/>
      <c r="C26" s="438"/>
      <c r="D26" s="439">
        <v>1.83</v>
      </c>
      <c r="E26" s="440">
        <f t="shared" ref="E26:E33" si="0">C26*D26</f>
        <v>0</v>
      </c>
      <c r="H26" s="147" t="s">
        <v>146</v>
      </c>
      <c r="I26" s="172"/>
      <c r="J26" s="132">
        <f>I26*9.3</f>
        <v>0</v>
      </c>
    </row>
    <row r="27" spans="1:10" ht="20.100000000000001" customHeight="1" x14ac:dyDescent="0.2">
      <c r="A27" s="590" t="s">
        <v>664</v>
      </c>
      <c r="B27" s="590"/>
      <c r="C27" s="438"/>
      <c r="D27" s="439">
        <v>1.8</v>
      </c>
      <c r="E27" s="440">
        <f t="shared" si="0"/>
        <v>0</v>
      </c>
      <c r="H27" s="148" t="s">
        <v>148</v>
      </c>
      <c r="I27" s="172"/>
      <c r="J27" s="132">
        <f>I27*14.3</f>
        <v>0</v>
      </c>
    </row>
    <row r="28" spans="1:10" ht="20.100000000000001" customHeight="1" x14ac:dyDescent="0.2">
      <c r="A28" s="590" t="s">
        <v>665</v>
      </c>
      <c r="B28" s="590"/>
      <c r="C28" s="438"/>
      <c r="D28" s="439">
        <v>-3.48</v>
      </c>
      <c r="E28" s="440">
        <f t="shared" si="0"/>
        <v>0</v>
      </c>
      <c r="F28"/>
      <c r="H28" s="148" t="s">
        <v>150</v>
      </c>
      <c r="I28" s="172"/>
      <c r="J28" s="132">
        <f>I28*5</f>
        <v>0</v>
      </c>
    </row>
    <row r="29" spans="1:10" ht="20.100000000000001" customHeight="1" x14ac:dyDescent="0.2">
      <c r="A29" s="579" t="s">
        <v>666</v>
      </c>
      <c r="B29" s="579"/>
      <c r="C29" s="438"/>
      <c r="D29" s="439">
        <v>0.59</v>
      </c>
      <c r="E29" s="440">
        <f t="shared" si="0"/>
        <v>0</v>
      </c>
      <c r="F29"/>
      <c r="H29" s="148" t="s">
        <v>151</v>
      </c>
      <c r="I29" s="172"/>
      <c r="J29" s="132">
        <f>I29*13.5</f>
        <v>0</v>
      </c>
    </row>
    <row r="30" spans="1:10" ht="20.100000000000001" customHeight="1" thickBot="1" x14ac:dyDescent="0.25">
      <c r="A30" s="580" t="s">
        <v>667</v>
      </c>
      <c r="B30" s="580"/>
      <c r="C30" s="438"/>
      <c r="D30" s="439">
        <v>3.66</v>
      </c>
      <c r="E30" s="440">
        <f t="shared" si="0"/>
        <v>0</v>
      </c>
      <c r="F30"/>
      <c r="H30" s="443" t="s">
        <v>153</v>
      </c>
      <c r="I30" s="592">
        <f>SUM(J6:J29)</f>
        <v>0</v>
      </c>
      <c r="J30" s="593"/>
    </row>
    <row r="31" spans="1:10" ht="15" x14ac:dyDescent="0.2">
      <c r="A31" s="581" t="s">
        <v>668</v>
      </c>
      <c r="B31" s="581"/>
      <c r="C31" s="438"/>
      <c r="D31" s="439">
        <v>1.42</v>
      </c>
      <c r="E31" s="440">
        <f t="shared" si="0"/>
        <v>0</v>
      </c>
    </row>
    <row r="32" spans="1:10" ht="15" x14ac:dyDescent="0.2">
      <c r="A32" s="580" t="s">
        <v>669</v>
      </c>
      <c r="B32" s="580"/>
      <c r="C32" s="438"/>
      <c r="D32" s="439">
        <v>0.37</v>
      </c>
      <c r="E32" s="440">
        <f t="shared" si="0"/>
        <v>0</v>
      </c>
    </row>
    <row r="33" spans="1:7" ht="15" x14ac:dyDescent="0.2">
      <c r="A33" s="580" t="s">
        <v>670</v>
      </c>
      <c r="B33" s="580"/>
      <c r="C33" s="438"/>
      <c r="D33" s="439">
        <v>0.37</v>
      </c>
      <c r="E33" s="440">
        <f t="shared" si="0"/>
        <v>0</v>
      </c>
    </row>
    <row r="34" spans="1:7" ht="15" customHeight="1" x14ac:dyDescent="0.2">
      <c r="D34" s="444" t="s">
        <v>369</v>
      </c>
      <c r="E34" s="444">
        <f>SUM(E25:E33)</f>
        <v>0</v>
      </c>
    </row>
    <row r="36" spans="1:7" ht="15" customHeight="1" x14ac:dyDescent="0.2">
      <c r="D36" s="577" t="s">
        <v>671</v>
      </c>
      <c r="E36" s="577"/>
      <c r="F36" s="577"/>
      <c r="G36" s="577"/>
    </row>
    <row r="37" spans="1:7" ht="12.75" customHeight="1" x14ac:dyDescent="0.2">
      <c r="A37" s="594" t="s">
        <v>152</v>
      </c>
      <c r="B37" s="595"/>
      <c r="D37" s="578" t="s">
        <v>147</v>
      </c>
      <c r="E37" s="578"/>
      <c r="F37" s="578"/>
      <c r="G37" s="441">
        <f>F19/1000</f>
        <v>0</v>
      </c>
    </row>
    <row r="38" spans="1:7" ht="15.75" x14ac:dyDescent="0.2">
      <c r="A38" s="594"/>
      <c r="B38" s="595"/>
      <c r="D38" s="578" t="s">
        <v>149</v>
      </c>
      <c r="E38" s="578"/>
      <c r="F38" s="578"/>
      <c r="G38" s="441">
        <f>I30/1000</f>
        <v>0</v>
      </c>
    </row>
    <row r="39" spans="1:7" ht="12.75" customHeight="1" x14ac:dyDescent="0.2">
      <c r="D39" s="578" t="s">
        <v>672</v>
      </c>
      <c r="E39" s="578"/>
      <c r="F39" s="578"/>
      <c r="G39" s="441">
        <f>G37+(G38*28)</f>
        <v>0</v>
      </c>
    </row>
    <row r="40" spans="1:7" ht="15" customHeight="1" x14ac:dyDescent="0.2">
      <c r="A40" s="447" t="s">
        <v>676</v>
      </c>
      <c r="D40" s="578" t="s">
        <v>673</v>
      </c>
      <c r="E40" s="578"/>
      <c r="F40" s="578"/>
      <c r="G40" s="441">
        <f>E34</f>
        <v>0</v>
      </c>
    </row>
    <row r="41" spans="1:7" ht="33.75" customHeight="1" x14ac:dyDescent="0.2">
      <c r="D41" s="582" t="s">
        <v>674</v>
      </c>
      <c r="E41" s="582"/>
      <c r="F41" s="582"/>
      <c r="G41" s="442" t="str">
        <f>IF(B3=0,"",(G39-G40)/B3)</f>
        <v/>
      </c>
    </row>
  </sheetData>
  <sheetProtection password="D3B7" sheet="1" objects="1" scenarios="1"/>
  <protectedRanges>
    <protectedRange sqref="B3 B6:B18 C25:C33 I6:I29" name="Plage1_1"/>
  </protectedRanges>
  <mergeCells count="25">
    <mergeCell ref="D40:F40"/>
    <mergeCell ref="D41:F41"/>
    <mergeCell ref="B1:J1"/>
    <mergeCell ref="A2:B2"/>
    <mergeCell ref="A4:B4"/>
    <mergeCell ref="C23:C24"/>
    <mergeCell ref="D23:D24"/>
    <mergeCell ref="E23:E24"/>
    <mergeCell ref="A25:B25"/>
    <mergeCell ref="A23:B24"/>
    <mergeCell ref="A26:B26"/>
    <mergeCell ref="A27:B27"/>
    <mergeCell ref="F2:H2"/>
    <mergeCell ref="I30:J30"/>
    <mergeCell ref="A37:B38"/>
    <mergeCell ref="A28:B28"/>
    <mergeCell ref="D36:G36"/>
    <mergeCell ref="D37:F37"/>
    <mergeCell ref="D38:F38"/>
    <mergeCell ref="D39:F39"/>
    <mergeCell ref="A29:B29"/>
    <mergeCell ref="A30:B30"/>
    <mergeCell ref="A31:B31"/>
    <mergeCell ref="A32:B32"/>
    <mergeCell ref="A33:B33"/>
  </mergeCells>
  <pageMargins left="0.7" right="0.7" top="0.75" bottom="0.75" header="0.3" footer="0.3"/>
  <pageSetup paperSize="9" scale="4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V104"/>
  <sheetViews>
    <sheetView zoomScale="115" zoomScaleNormal="115" zoomScaleSheetLayoutView="100" workbookViewId="0">
      <selection activeCell="A4" sqref="A4:B4"/>
    </sheetView>
  </sheetViews>
  <sheetFormatPr baseColWidth="10" defaultRowHeight="12.75" x14ac:dyDescent="0.2"/>
  <cols>
    <col min="1" max="8" width="12.7109375" customWidth="1"/>
  </cols>
  <sheetData>
    <row r="1" spans="1:8" x14ac:dyDescent="0.2">
      <c r="A1" s="448" t="s">
        <v>676</v>
      </c>
    </row>
    <row r="2" spans="1:8" ht="18" x14ac:dyDescent="0.25">
      <c r="C2" s="597" t="s">
        <v>683</v>
      </c>
      <c r="D2" s="597"/>
      <c r="E2" s="597"/>
      <c r="F2" s="597"/>
      <c r="G2" s="597"/>
      <c r="H2" s="81"/>
    </row>
    <row r="3" spans="1:8" ht="18" x14ac:dyDescent="0.25">
      <c r="A3" s="600" t="s">
        <v>684</v>
      </c>
      <c r="B3" s="600"/>
      <c r="C3" s="597"/>
      <c r="D3" s="597"/>
      <c r="E3" s="597"/>
      <c r="F3" s="597"/>
      <c r="G3" s="597"/>
      <c r="H3" s="82"/>
    </row>
    <row r="4" spans="1:8" x14ac:dyDescent="0.2">
      <c r="A4" s="599"/>
      <c r="B4" s="599"/>
      <c r="C4" s="43"/>
    </row>
    <row r="5" spans="1:8" x14ac:dyDescent="0.2">
      <c r="B5" s="1"/>
      <c r="C5" s="1"/>
      <c r="D5" s="1"/>
      <c r="E5" s="1"/>
      <c r="F5" s="1"/>
      <c r="G5" s="1"/>
      <c r="H5" s="1"/>
    </row>
    <row r="6" spans="1:8" x14ac:dyDescent="0.2">
      <c r="A6" s="449"/>
      <c r="B6" s="450" t="s">
        <v>685</v>
      </c>
      <c r="C6" s="601"/>
      <c r="D6" s="601"/>
      <c r="E6" s="1"/>
      <c r="F6" s="1"/>
      <c r="G6" s="1"/>
      <c r="H6" s="1"/>
    </row>
    <row r="7" spans="1:8" x14ac:dyDescent="0.2">
      <c r="A7" s="449"/>
      <c r="B7" s="449" t="s">
        <v>686</v>
      </c>
      <c r="C7" s="601"/>
      <c r="D7" s="601"/>
    </row>
    <row r="8" spans="1:8" x14ac:dyDescent="0.2">
      <c r="A8" s="449"/>
      <c r="B8" s="449" t="s">
        <v>687</v>
      </c>
      <c r="C8" s="601"/>
      <c r="D8" s="601"/>
    </row>
    <row r="9" spans="1:8" x14ac:dyDescent="0.2">
      <c r="A9" s="598" t="s">
        <v>688</v>
      </c>
      <c r="B9" s="598"/>
      <c r="C9" s="601"/>
      <c r="D9" s="601"/>
    </row>
    <row r="10" spans="1:8" x14ac:dyDescent="0.2">
      <c r="A10" s="449"/>
      <c r="B10" s="449" t="s">
        <v>689</v>
      </c>
      <c r="C10" s="601"/>
      <c r="D10" s="601"/>
    </row>
    <row r="13" spans="1:8" s="2" customFormat="1" ht="27" x14ac:dyDescent="0.5">
      <c r="B13" s="596" t="s">
        <v>678</v>
      </c>
      <c r="C13" s="596"/>
      <c r="D13" s="596"/>
      <c r="E13" s="596"/>
      <c r="F13" s="596"/>
    </row>
    <row r="14" spans="1:8" ht="14.25" customHeight="1" x14ac:dyDescent="0.3">
      <c r="B14" s="3"/>
      <c r="D14" s="3"/>
    </row>
    <row r="15" spans="1:8" ht="14.25" customHeight="1" x14ac:dyDescent="0.3">
      <c r="B15" s="3"/>
      <c r="D15" s="3"/>
    </row>
    <row r="16" spans="1:8" x14ac:dyDescent="0.2">
      <c r="A16" s="4" t="s">
        <v>0</v>
      </c>
      <c r="B16" s="5">
        <v>1</v>
      </c>
      <c r="C16" s="5">
        <v>2</v>
      </c>
      <c r="D16" s="5">
        <v>3</v>
      </c>
      <c r="E16" s="5">
        <v>4</v>
      </c>
      <c r="F16" s="6">
        <v>5</v>
      </c>
      <c r="G16" s="5">
        <v>6</v>
      </c>
      <c r="H16" s="7">
        <v>7</v>
      </c>
    </row>
    <row r="17" spans="1:24" s="11" customFormat="1" ht="42" customHeight="1" thickBot="1" x14ac:dyDescent="0.25">
      <c r="A17" s="8" t="s">
        <v>1</v>
      </c>
      <c r="B17" s="9" t="s">
        <v>2</v>
      </c>
      <c r="C17" s="9" t="s">
        <v>550</v>
      </c>
      <c r="D17" s="9" t="s">
        <v>3</v>
      </c>
      <c r="E17" s="10" t="s">
        <v>4</v>
      </c>
      <c r="F17" s="9" t="s">
        <v>5</v>
      </c>
      <c r="G17" s="362" t="s">
        <v>6</v>
      </c>
      <c r="H17" s="357" t="s">
        <v>559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34.5" customHeight="1" thickBot="1" x14ac:dyDescent="0.25">
      <c r="A18" s="12" t="s">
        <v>7</v>
      </c>
      <c r="B18" s="13" t="s">
        <v>44</v>
      </c>
      <c r="C18" s="13" t="s">
        <v>45</v>
      </c>
      <c r="D18" s="13" t="s">
        <v>34</v>
      </c>
      <c r="E18" s="14" t="s">
        <v>42</v>
      </c>
      <c r="F18" s="15" t="s">
        <v>43</v>
      </c>
      <c r="G18" s="166" t="s">
        <v>8</v>
      </c>
      <c r="H18" s="80" t="s">
        <v>560</v>
      </c>
    </row>
    <row r="19" spans="1:24" ht="15" customHeight="1" thickBot="1" x14ac:dyDescent="0.25">
      <c r="A19" s="52" t="s">
        <v>9</v>
      </c>
      <c r="B19" s="110"/>
      <c r="C19" s="111"/>
      <c r="D19" s="110"/>
      <c r="E19" s="111"/>
      <c r="F19" s="110"/>
      <c r="G19" s="374"/>
      <c r="H19" s="112"/>
    </row>
    <row r="20" spans="1:24" x14ac:dyDescent="0.2">
      <c r="A20" s="53">
        <v>0</v>
      </c>
      <c r="B20" s="113" t="s">
        <v>549</v>
      </c>
      <c r="C20" s="113" t="s">
        <v>551</v>
      </c>
      <c r="D20" s="113" t="s">
        <v>554</v>
      </c>
      <c r="E20" s="114" t="s">
        <v>555</v>
      </c>
      <c r="F20" s="114" t="s">
        <v>557</v>
      </c>
      <c r="G20" s="363">
        <v>0</v>
      </c>
      <c r="H20" s="358" t="s">
        <v>561</v>
      </c>
    </row>
    <row r="21" spans="1:24" s="16" customFormat="1" x14ac:dyDescent="0.2">
      <c r="A21" s="56">
        <v>1</v>
      </c>
      <c r="B21" s="115" t="s">
        <v>10</v>
      </c>
      <c r="C21" s="115" t="s">
        <v>11</v>
      </c>
      <c r="D21" s="115" t="s">
        <v>35</v>
      </c>
      <c r="E21" s="116" t="s">
        <v>39</v>
      </c>
      <c r="F21" s="115" t="s">
        <v>14</v>
      </c>
      <c r="G21" s="364">
        <v>1</v>
      </c>
      <c r="H21" s="359" t="s">
        <v>562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x14ac:dyDescent="0.2">
      <c r="A22" s="56">
        <v>2</v>
      </c>
      <c r="B22" s="115" t="s">
        <v>14</v>
      </c>
      <c r="C22" s="115" t="s">
        <v>530</v>
      </c>
      <c r="D22" s="115" t="s">
        <v>36</v>
      </c>
      <c r="E22" s="116" t="s">
        <v>40</v>
      </c>
      <c r="F22" s="115" t="s">
        <v>16</v>
      </c>
      <c r="G22" s="364">
        <v>2</v>
      </c>
      <c r="H22" s="360" t="s">
        <v>563</v>
      </c>
    </row>
    <row r="23" spans="1:24" x14ac:dyDescent="0.2">
      <c r="A23" s="56">
        <v>3</v>
      </c>
      <c r="B23" s="115" t="s">
        <v>16</v>
      </c>
      <c r="C23" s="115" t="s">
        <v>17</v>
      </c>
      <c r="D23" s="115" t="s">
        <v>37</v>
      </c>
      <c r="E23" s="116" t="s">
        <v>41</v>
      </c>
      <c r="F23" s="115" t="s">
        <v>12</v>
      </c>
      <c r="G23" s="364">
        <v>3</v>
      </c>
      <c r="H23" s="360" t="s">
        <v>564</v>
      </c>
    </row>
    <row r="24" spans="1:24" x14ac:dyDescent="0.2">
      <c r="A24" s="56">
        <v>4</v>
      </c>
      <c r="B24" s="115" t="s">
        <v>12</v>
      </c>
      <c r="C24" s="115" t="s">
        <v>18</v>
      </c>
      <c r="D24" s="115" t="s">
        <v>38</v>
      </c>
      <c r="E24" s="116" t="s">
        <v>13</v>
      </c>
      <c r="F24" s="117" t="s">
        <v>15</v>
      </c>
      <c r="G24" s="364">
        <v>4</v>
      </c>
      <c r="H24" s="360" t="s">
        <v>565</v>
      </c>
    </row>
    <row r="25" spans="1:24" ht="13.5" thickBot="1" x14ac:dyDescent="0.25">
      <c r="A25" s="51">
        <v>5</v>
      </c>
      <c r="B25" s="118" t="s">
        <v>548</v>
      </c>
      <c r="C25" s="118" t="s">
        <v>552</v>
      </c>
      <c r="D25" s="118" t="s">
        <v>553</v>
      </c>
      <c r="E25" s="119" t="s">
        <v>556</v>
      </c>
      <c r="F25" s="120" t="s">
        <v>558</v>
      </c>
      <c r="G25" s="365">
        <v>5</v>
      </c>
      <c r="H25" s="361" t="s">
        <v>549</v>
      </c>
    </row>
    <row r="26" spans="1:24" ht="15.75" thickBot="1" x14ac:dyDescent="0.25">
      <c r="A26" s="121" t="s">
        <v>19</v>
      </c>
      <c r="B26" s="368"/>
      <c r="C26" s="368"/>
      <c r="D26" s="368"/>
      <c r="E26" s="368"/>
      <c r="F26" s="368"/>
      <c r="G26" s="368"/>
      <c r="H26" s="369"/>
    </row>
    <row r="28" spans="1:24" x14ac:dyDescent="0.2">
      <c r="C28" s="1"/>
      <c r="D28" s="1"/>
      <c r="E28" s="17"/>
      <c r="F28" s="17"/>
    </row>
    <row r="44" spans="1:256" s="3" customFormat="1" ht="20.25" x14ac:dyDescent="0.3">
      <c r="A44"/>
      <c r="G44"/>
      <c r="H44"/>
      <c r="I44"/>
      <c r="J44"/>
      <c r="K44"/>
      <c r="L44"/>
      <c r="M44"/>
      <c r="N44"/>
      <c r="IU44"/>
      <c r="IV44"/>
    </row>
    <row r="45" spans="1:256" s="3" customFormat="1" ht="20.25" x14ac:dyDescent="0.3">
      <c r="A45"/>
      <c r="G45"/>
      <c r="H45"/>
      <c r="I45"/>
      <c r="J45"/>
      <c r="K45"/>
      <c r="L45"/>
      <c r="M45"/>
      <c r="N45"/>
      <c r="IU45"/>
      <c r="IV45"/>
    </row>
    <row r="46" spans="1:256" s="3" customFormat="1" ht="20.25" x14ac:dyDescent="0.3">
      <c r="A46"/>
      <c r="B46"/>
      <c r="C46"/>
      <c r="D46"/>
      <c r="G46"/>
      <c r="H46"/>
      <c r="I46"/>
      <c r="J46"/>
      <c r="K46"/>
      <c r="L46"/>
      <c r="M46"/>
      <c r="N46"/>
      <c r="IU46"/>
      <c r="IV46"/>
    </row>
    <row r="47" spans="1:256" s="3" customFormat="1" ht="20.25" x14ac:dyDescent="0.3">
      <c r="A47"/>
      <c r="B47" s="18"/>
      <c r="G47"/>
      <c r="H47"/>
      <c r="I47"/>
      <c r="J47"/>
      <c r="K47"/>
      <c r="L47"/>
      <c r="M47"/>
      <c r="N47"/>
      <c r="IU47"/>
      <c r="IV47"/>
    </row>
    <row r="48" spans="1:256" s="3" customFormat="1" ht="20.25" x14ac:dyDescent="0.3">
      <c r="A48"/>
      <c r="B48"/>
      <c r="C48" s="19"/>
      <c r="D48" s="19"/>
      <c r="G48"/>
      <c r="H48"/>
      <c r="I48"/>
      <c r="J48"/>
      <c r="K48"/>
      <c r="L48"/>
      <c r="M48"/>
      <c r="N48"/>
      <c r="IU48"/>
      <c r="IV48"/>
    </row>
    <row r="49" spans="1:256" s="3" customFormat="1" ht="20.25" x14ac:dyDescent="0.3">
      <c r="A49"/>
      <c r="B49"/>
      <c r="G49" s="1"/>
      <c r="H49" s="1"/>
      <c r="I49" s="1"/>
      <c r="J49" s="1"/>
      <c r="K49" s="1"/>
      <c r="L49" s="1"/>
      <c r="M49" s="1"/>
      <c r="N49" s="1"/>
      <c r="IU49"/>
      <c r="IV49"/>
    </row>
    <row r="50" spans="1:256" s="23" customFormat="1" ht="14.25" customHeight="1" x14ac:dyDescent="0.2">
      <c r="A50" s="20"/>
      <c r="B50" s="21"/>
      <c r="C50" s="22"/>
      <c r="D50" s="22"/>
      <c r="E50" s="22"/>
      <c r="F50" s="22"/>
      <c r="G50" s="21"/>
      <c r="H50" s="21"/>
      <c r="I50" s="21"/>
      <c r="J50" s="21"/>
      <c r="K50" s="21"/>
      <c r="L50" s="21"/>
      <c r="M50" s="21"/>
      <c r="N50" s="21"/>
      <c r="IU50" s="20"/>
      <c r="IV50" s="20"/>
    </row>
    <row r="51" spans="1:256" ht="27.95" customHeight="1" x14ac:dyDescent="0.2">
      <c r="B51" s="1"/>
      <c r="C51" s="1"/>
      <c r="D51" s="1"/>
      <c r="E51" s="1"/>
      <c r="F51" s="1"/>
      <c r="G51" s="1"/>
    </row>
    <row r="52" spans="1:256" ht="37.5" customHeight="1" x14ac:dyDescent="0.2"/>
    <row r="53" spans="1:256" s="2" customFormat="1" ht="37.5" customHeight="1" x14ac:dyDescent="0.6">
      <c r="B53" s="24"/>
      <c r="C53" s="24"/>
      <c r="D53" s="24"/>
      <c r="E53" s="24"/>
      <c r="F53" s="24"/>
    </row>
    <row r="54" spans="1:256" ht="14.25" customHeight="1" x14ac:dyDescent="0.2"/>
    <row r="55" spans="1:256" ht="14.25" customHeight="1" x14ac:dyDescent="0.2"/>
    <row r="56" spans="1:256" s="25" customFormat="1" x14ac:dyDescent="0.2">
      <c r="B56" s="26"/>
      <c r="C56" s="26"/>
      <c r="D56" s="26"/>
      <c r="E56" s="26"/>
    </row>
    <row r="57" spans="1:256" s="25" customFormat="1" x14ac:dyDescent="0.2">
      <c r="B57" s="27"/>
      <c r="C57" s="28"/>
      <c r="D57" s="28"/>
      <c r="E57" s="29"/>
    </row>
    <row r="58" spans="1:256" s="25" customFormat="1" ht="12.75" customHeight="1" x14ac:dyDescent="0.3">
      <c r="B58" s="27"/>
      <c r="C58" s="30"/>
      <c r="D58" s="30"/>
      <c r="E58" s="31"/>
      <c r="F58" s="32"/>
    </row>
    <row r="59" spans="1:256" s="25" customFormat="1" x14ac:dyDescent="0.2">
      <c r="B59" s="33"/>
      <c r="C59" s="34"/>
      <c r="D59" s="34"/>
      <c r="E59" s="34"/>
    </row>
    <row r="60" spans="1:256" s="25" customFormat="1" x14ac:dyDescent="0.2">
      <c r="B60" s="33"/>
      <c r="C60" s="29"/>
      <c r="D60" s="29"/>
      <c r="E60" s="35"/>
    </row>
    <row r="61" spans="1:256" s="25" customFormat="1" x14ac:dyDescent="0.2">
      <c r="B61" s="27"/>
      <c r="C61" s="36"/>
      <c r="D61" s="36"/>
      <c r="E61" s="37"/>
    </row>
    <row r="62" spans="1:256" s="25" customFormat="1" x14ac:dyDescent="0.2">
      <c r="B62" s="27"/>
      <c r="C62" s="36"/>
      <c r="D62" s="36"/>
      <c r="E62" s="38"/>
    </row>
    <row r="63" spans="1:256" s="25" customFormat="1" x14ac:dyDescent="0.2">
      <c r="B63" s="27"/>
      <c r="C63" s="36"/>
      <c r="D63" s="36"/>
      <c r="E63" s="38"/>
    </row>
    <row r="64" spans="1:256" s="25" customFormat="1" x14ac:dyDescent="0.2">
      <c r="B64" s="27"/>
      <c r="C64" s="36"/>
      <c r="D64" s="36"/>
      <c r="E64" s="38"/>
    </row>
    <row r="65" spans="2:6" s="25" customFormat="1" x14ac:dyDescent="0.2">
      <c r="B65" s="27"/>
      <c r="C65" s="36"/>
      <c r="D65" s="36"/>
      <c r="E65" s="38"/>
    </row>
    <row r="66" spans="2:6" s="1" customFormat="1" ht="12.75" customHeight="1" x14ac:dyDescent="0.2">
      <c r="B66" s="39"/>
      <c r="C66" s="17"/>
      <c r="D66" s="17"/>
      <c r="E66" s="17"/>
      <c r="F66" s="17"/>
    </row>
    <row r="67" spans="2:6" x14ac:dyDescent="0.2">
      <c r="B67" s="1"/>
    </row>
    <row r="76" spans="2:6" ht="13.7" customHeight="1" x14ac:dyDescent="0.2"/>
    <row r="101" spans="2:6" x14ac:dyDescent="0.2">
      <c r="B101" s="1"/>
      <c r="C101" s="1"/>
      <c r="D101" s="1"/>
      <c r="E101" s="1"/>
      <c r="F101" s="1"/>
    </row>
    <row r="104" spans="2:6" x14ac:dyDescent="0.2">
      <c r="B104" s="1"/>
      <c r="C104" s="1"/>
      <c r="D104" s="1"/>
      <c r="E104" s="1"/>
      <c r="F104" s="1"/>
    </row>
  </sheetData>
  <sheetProtection password="D3B7" sheet="1" objects="1" scenarios="1"/>
  <protectedRanges>
    <protectedRange sqref="A4:B4 C6:D10" name="Plage2"/>
    <protectedRange sqref="B19:H19 B26:H26" name="Plage1"/>
  </protectedRanges>
  <mergeCells count="10">
    <mergeCell ref="B13:F13"/>
    <mergeCell ref="C2:G3"/>
    <mergeCell ref="A9:B9"/>
    <mergeCell ref="A4:B4"/>
    <mergeCell ref="A3:B3"/>
    <mergeCell ref="C6:D6"/>
    <mergeCell ref="C7:D7"/>
    <mergeCell ref="C8:D8"/>
    <mergeCell ref="C9:D9"/>
    <mergeCell ref="C10:D10"/>
  </mergeCells>
  <printOptions horizontalCentered="1" verticalCentered="1"/>
  <pageMargins left="0.19685039370078741" right="0.19685039370078741" top="0.39370078740157483" bottom="0.51181102362204722" header="0.51181102362204722" footer="0.51181102362204722"/>
  <pageSetup paperSize="9" firstPageNumber="0" orientation="portrait" horizontalDpi="300" verticalDpi="300" r:id="rId1"/>
  <headerFooter alignWithMargins="0">
    <oddFooter>&amp;CDiagnostic de durabilité 
Réseau CIVAM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4"/>
  <sheetViews>
    <sheetView zoomScale="115" zoomScaleNormal="115" zoomScaleSheetLayoutView="100" workbookViewId="0">
      <selection activeCell="C20" sqref="C20"/>
    </sheetView>
  </sheetViews>
  <sheetFormatPr baseColWidth="10" defaultRowHeight="12.75" x14ac:dyDescent="0.2"/>
  <cols>
    <col min="1" max="1" width="15.7109375" customWidth="1"/>
    <col min="2" max="2" width="14.140625" customWidth="1"/>
    <col min="3" max="4" width="14.5703125" customWidth="1"/>
    <col min="5" max="5" width="15" customWidth="1"/>
    <col min="6" max="6" width="13.42578125" customWidth="1"/>
    <col min="7" max="7" width="16.140625" customWidth="1"/>
    <col min="8" max="8" width="14.42578125" customWidth="1"/>
  </cols>
  <sheetData>
    <row r="1" spans="1:8" x14ac:dyDescent="0.2">
      <c r="A1" s="448" t="s">
        <v>676</v>
      </c>
    </row>
    <row r="2" spans="1:8" ht="18" x14ac:dyDescent="0.25">
      <c r="C2" s="597" t="s">
        <v>683</v>
      </c>
      <c r="D2" s="597"/>
      <c r="E2" s="597"/>
      <c r="F2" s="597"/>
      <c r="G2" s="597"/>
      <c r="H2" s="81"/>
    </row>
    <row r="3" spans="1:8" ht="18" x14ac:dyDescent="0.25">
      <c r="C3" s="597"/>
      <c r="D3" s="597"/>
      <c r="E3" s="597"/>
      <c r="F3" s="597"/>
      <c r="G3" s="597"/>
      <c r="H3" s="82"/>
    </row>
    <row r="5" spans="1:8" x14ac:dyDescent="0.2">
      <c r="B5" s="1"/>
      <c r="C5" s="1"/>
      <c r="D5" s="1"/>
      <c r="E5" s="1"/>
      <c r="F5" s="1"/>
      <c r="G5" s="1"/>
      <c r="H5" s="1"/>
    </row>
    <row r="6" spans="1:8" ht="18" customHeight="1" x14ac:dyDescent="0.2"/>
    <row r="7" spans="1:8" s="2" customFormat="1" ht="27" x14ac:dyDescent="0.5">
      <c r="A7" s="603" t="s">
        <v>677</v>
      </c>
      <c r="B7" s="603"/>
      <c r="C7" s="603"/>
      <c r="D7" s="603"/>
      <c r="E7" s="603"/>
      <c r="F7" s="603"/>
      <c r="G7" s="603"/>
      <c r="H7" s="603"/>
    </row>
    <row r="8" spans="1:8" s="1" customFormat="1" ht="21" x14ac:dyDescent="0.2">
      <c r="A8" s="40"/>
      <c r="B8" s="602"/>
      <c r="C8" s="602"/>
      <c r="D8" s="602"/>
      <c r="E8" s="41"/>
      <c r="F8" s="41"/>
      <c r="G8" s="41"/>
      <c r="H8" s="41"/>
    </row>
    <row r="9" spans="1:8" s="1" customFormat="1" ht="13.5" thickBot="1" x14ac:dyDescent="0.25"/>
    <row r="10" spans="1:8" s="1" customFormat="1" x14ac:dyDescent="0.2">
      <c r="A10" s="71" t="s">
        <v>0</v>
      </c>
      <c r="B10" s="72">
        <v>1</v>
      </c>
      <c r="C10" s="72">
        <v>2</v>
      </c>
      <c r="D10" s="72">
        <v>3</v>
      </c>
      <c r="E10" s="72">
        <v>4</v>
      </c>
      <c r="F10" s="125">
        <v>5</v>
      </c>
      <c r="G10" s="129">
        <v>6</v>
      </c>
      <c r="H10" s="122">
        <v>7</v>
      </c>
    </row>
    <row r="11" spans="1:8" s="43" customFormat="1" ht="33.75" x14ac:dyDescent="0.2">
      <c r="A11" s="73" t="s">
        <v>1</v>
      </c>
      <c r="B11" s="42" t="s">
        <v>539</v>
      </c>
      <c r="C11" s="42" t="s">
        <v>46</v>
      </c>
      <c r="D11" s="42" t="s">
        <v>20</v>
      </c>
      <c r="E11" s="42" t="s">
        <v>541</v>
      </c>
      <c r="F11" s="126" t="s">
        <v>540</v>
      </c>
      <c r="G11" s="130" t="s">
        <v>626</v>
      </c>
      <c r="H11" s="123" t="s">
        <v>529</v>
      </c>
    </row>
    <row r="12" spans="1:8" s="45" customFormat="1" ht="61.5" customHeight="1" thickBot="1" x14ac:dyDescent="0.25">
      <c r="A12" s="74" t="s">
        <v>21</v>
      </c>
      <c r="B12" s="13" t="s">
        <v>8</v>
      </c>
      <c r="C12" s="44" t="s">
        <v>625</v>
      </c>
      <c r="D12" s="44" t="s">
        <v>48</v>
      </c>
      <c r="E12" s="44" t="s">
        <v>47</v>
      </c>
      <c r="F12" s="127" t="s">
        <v>8</v>
      </c>
      <c r="G12" s="131" t="s">
        <v>585</v>
      </c>
      <c r="H12" s="124" t="s">
        <v>586</v>
      </c>
    </row>
    <row r="13" spans="1:8" s="46" customFormat="1" ht="16.5" customHeight="1" thickBot="1" x14ac:dyDescent="0.25">
      <c r="A13" s="75" t="s">
        <v>9</v>
      </c>
      <c r="B13" s="370"/>
      <c r="C13" s="371"/>
      <c r="D13" s="379"/>
      <c r="E13" s="379"/>
      <c r="F13" s="380"/>
      <c r="G13" s="381"/>
      <c r="H13" s="372"/>
    </row>
    <row r="14" spans="1:8" s="46" customFormat="1" x14ac:dyDescent="0.2">
      <c r="A14" s="76">
        <v>0</v>
      </c>
      <c r="B14" s="47">
        <v>0</v>
      </c>
      <c r="C14" s="68" t="s">
        <v>566</v>
      </c>
      <c r="D14" s="68" t="s">
        <v>568</v>
      </c>
      <c r="E14" s="68" t="s">
        <v>573</v>
      </c>
      <c r="F14" s="128">
        <v>0</v>
      </c>
      <c r="G14" s="128" t="s">
        <v>579</v>
      </c>
      <c r="H14" s="366" t="s">
        <v>587</v>
      </c>
    </row>
    <row r="15" spans="1:8" x14ac:dyDescent="0.2">
      <c r="A15" s="77">
        <v>1</v>
      </c>
      <c r="B15" s="67">
        <v>1</v>
      </c>
      <c r="C15" s="70" t="s">
        <v>22</v>
      </c>
      <c r="D15" s="70" t="s">
        <v>569</v>
      </c>
      <c r="E15" s="70" t="s">
        <v>574</v>
      </c>
      <c r="F15" s="128">
        <v>1</v>
      </c>
      <c r="G15" s="128" t="s">
        <v>580</v>
      </c>
      <c r="H15" s="366" t="s">
        <v>588</v>
      </c>
    </row>
    <row r="16" spans="1:8" x14ac:dyDescent="0.2">
      <c r="A16" s="77">
        <v>2</v>
      </c>
      <c r="B16" s="48">
        <v>2</v>
      </c>
      <c r="C16" s="69" t="s">
        <v>23</v>
      </c>
      <c r="D16" s="69" t="s">
        <v>570</v>
      </c>
      <c r="E16" s="69" t="s">
        <v>575</v>
      </c>
      <c r="F16" s="128">
        <v>2</v>
      </c>
      <c r="G16" s="128" t="s">
        <v>581</v>
      </c>
      <c r="H16" s="366" t="s">
        <v>589</v>
      </c>
    </row>
    <row r="17" spans="1:8" x14ac:dyDescent="0.2">
      <c r="A17" s="77">
        <v>3</v>
      </c>
      <c r="B17" s="48">
        <v>3</v>
      </c>
      <c r="C17" s="49" t="s">
        <v>24</v>
      </c>
      <c r="D17" s="49" t="s">
        <v>571</v>
      </c>
      <c r="E17" s="49" t="s">
        <v>576</v>
      </c>
      <c r="F17" s="128">
        <v>3</v>
      </c>
      <c r="G17" s="128" t="s">
        <v>582</v>
      </c>
      <c r="H17" s="366" t="s">
        <v>590</v>
      </c>
    </row>
    <row r="18" spans="1:8" x14ac:dyDescent="0.2">
      <c r="A18" s="77">
        <v>4</v>
      </c>
      <c r="B18" s="48">
        <v>4</v>
      </c>
      <c r="C18" s="49" t="s">
        <v>25</v>
      </c>
      <c r="D18" s="49" t="s">
        <v>572</v>
      </c>
      <c r="E18" s="49" t="s">
        <v>577</v>
      </c>
      <c r="F18" s="128">
        <v>4</v>
      </c>
      <c r="G18" s="128" t="s">
        <v>583</v>
      </c>
      <c r="H18" s="366" t="s">
        <v>591</v>
      </c>
    </row>
    <row r="19" spans="1:8" ht="13.5" thickBot="1" x14ac:dyDescent="0.25">
      <c r="A19" s="78">
        <v>5</v>
      </c>
      <c r="B19" s="50">
        <v>5</v>
      </c>
      <c r="C19" s="50" t="s">
        <v>567</v>
      </c>
      <c r="D19" s="50" t="s">
        <v>680</v>
      </c>
      <c r="E19" s="50" t="s">
        <v>578</v>
      </c>
      <c r="F19" s="128">
        <v>5</v>
      </c>
      <c r="G19" s="128" t="s">
        <v>584</v>
      </c>
      <c r="H19" s="367">
        <v>1</v>
      </c>
    </row>
    <row r="20" spans="1:8" s="46" customFormat="1" ht="18" customHeight="1" thickBot="1" x14ac:dyDescent="0.25">
      <c r="A20" s="79" t="s">
        <v>19</v>
      </c>
      <c r="B20" s="382"/>
      <c r="C20" s="375"/>
      <c r="D20" s="375"/>
      <c r="E20" s="375"/>
      <c r="F20" s="376"/>
      <c r="G20" s="377"/>
      <c r="H20" s="378"/>
    </row>
    <row r="53" ht="10.5" customHeight="1" x14ac:dyDescent="0.2"/>
    <row r="54" ht="12.75" hidden="1" customHeight="1" x14ac:dyDescent="0.2"/>
  </sheetData>
  <sheetProtection password="D3B7" sheet="1" objects="1" scenarios="1"/>
  <protectedRanges>
    <protectedRange sqref="B13:H13 B20:H20" name="Plage1"/>
  </protectedRanges>
  <mergeCells count="3">
    <mergeCell ref="B8:D8"/>
    <mergeCell ref="A7:H7"/>
    <mergeCell ref="C2:G3"/>
  </mergeCells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5" firstPageNumber="0" orientation="portrait" horizontalDpi="300" verticalDpi="300" r:id="rId1"/>
  <headerFooter alignWithMargins="0">
    <oddFooter>&amp;CDiagnostic de durabilité 
Réseau CIVAM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7"/>
  <sheetViews>
    <sheetView view="pageBreakPreview" zoomScale="115" zoomScaleNormal="115" zoomScaleSheetLayoutView="115" workbookViewId="0">
      <selection activeCell="B17" sqref="B17"/>
    </sheetView>
  </sheetViews>
  <sheetFormatPr baseColWidth="10" defaultRowHeight="12.75" x14ac:dyDescent="0.2"/>
  <cols>
    <col min="1" max="6" width="12.7109375" customWidth="1"/>
    <col min="7" max="7" width="14.85546875" customWidth="1"/>
    <col min="8" max="8" width="16.28515625" customWidth="1"/>
  </cols>
  <sheetData>
    <row r="1" spans="1:8" x14ac:dyDescent="0.2">
      <c r="A1" s="448" t="s">
        <v>676</v>
      </c>
    </row>
    <row r="2" spans="1:8" ht="18" x14ac:dyDescent="0.25">
      <c r="C2" s="597" t="s">
        <v>683</v>
      </c>
      <c r="D2" s="597"/>
      <c r="E2" s="597"/>
      <c r="F2" s="597"/>
      <c r="G2" s="597"/>
      <c r="H2" s="81"/>
    </row>
    <row r="3" spans="1:8" ht="18" x14ac:dyDescent="0.25">
      <c r="C3" s="597"/>
      <c r="D3" s="597"/>
      <c r="E3" s="597"/>
      <c r="F3" s="597"/>
      <c r="G3" s="597"/>
      <c r="H3" s="82"/>
    </row>
    <row r="5" spans="1:8" x14ac:dyDescent="0.2">
      <c r="B5" s="1"/>
      <c r="C5" s="1"/>
      <c r="D5" s="1"/>
      <c r="E5" s="1"/>
      <c r="F5" s="1"/>
      <c r="G5" s="1"/>
      <c r="H5" s="1"/>
    </row>
    <row r="6" spans="1:8" s="2" customFormat="1" ht="37.5" customHeight="1" x14ac:dyDescent="0.5">
      <c r="A6" s="603" t="s">
        <v>679</v>
      </c>
      <c r="B6" s="603"/>
      <c r="C6" s="603"/>
      <c r="D6" s="603"/>
      <c r="E6" s="603"/>
      <c r="F6" s="603"/>
      <c r="G6" s="603"/>
      <c r="H6" s="603"/>
    </row>
    <row r="7" spans="1:8" ht="14.25" customHeight="1" x14ac:dyDescent="0.2"/>
    <row r="8" spans="1:8" ht="14.25" customHeight="1" thickBot="1" x14ac:dyDescent="0.25"/>
    <row r="9" spans="1:8" ht="14.25" customHeight="1" x14ac:dyDescent="0.2">
      <c r="A9" s="384" t="s">
        <v>531</v>
      </c>
      <c r="B9" s="72">
        <v>1</v>
      </c>
      <c r="C9" s="72">
        <v>2</v>
      </c>
      <c r="D9" s="72">
        <v>3</v>
      </c>
      <c r="E9" s="72">
        <v>4</v>
      </c>
      <c r="F9" s="72">
        <v>5</v>
      </c>
      <c r="G9" s="125">
        <v>6</v>
      </c>
      <c r="H9" s="122">
        <v>7</v>
      </c>
    </row>
    <row r="10" spans="1:8" ht="33.75" x14ac:dyDescent="0.2">
      <c r="A10" s="385" t="s">
        <v>592</v>
      </c>
      <c r="B10" s="42" t="s">
        <v>26</v>
      </c>
      <c r="C10" s="42" t="s">
        <v>27</v>
      </c>
      <c r="D10" s="42" t="s">
        <v>29</v>
      </c>
      <c r="E10" s="42" t="s">
        <v>28</v>
      </c>
      <c r="F10" s="42" t="s">
        <v>30</v>
      </c>
      <c r="G10" s="126" t="s">
        <v>31</v>
      </c>
      <c r="H10" s="123" t="s">
        <v>545</v>
      </c>
    </row>
    <row r="11" spans="1:8" ht="63" customHeight="1" thickBot="1" x14ac:dyDescent="0.25">
      <c r="A11" s="386" t="s">
        <v>21</v>
      </c>
      <c r="B11" s="44" t="s">
        <v>633</v>
      </c>
      <c r="C11" s="44" t="s">
        <v>49</v>
      </c>
      <c r="D11" s="44" t="s">
        <v>8</v>
      </c>
      <c r="E11" s="44" t="s">
        <v>599</v>
      </c>
      <c r="F11" s="44" t="s">
        <v>8</v>
      </c>
      <c r="G11" s="166" t="s">
        <v>607</v>
      </c>
      <c r="H11" s="387" t="s">
        <v>606</v>
      </c>
    </row>
    <row r="12" spans="1:8" ht="19.5" customHeight="1" thickBot="1" x14ac:dyDescent="0.25">
      <c r="A12" s="388" t="s">
        <v>9</v>
      </c>
      <c r="B12" s="373"/>
      <c r="C12" s="373"/>
      <c r="D12" s="373"/>
      <c r="E12" s="373"/>
      <c r="F12" s="373"/>
      <c r="G12" s="383"/>
      <c r="H12" s="394"/>
    </row>
    <row r="13" spans="1:8" x14ac:dyDescent="0.2">
      <c r="A13" s="389">
        <v>0</v>
      </c>
      <c r="B13" s="54" t="s">
        <v>627</v>
      </c>
      <c r="C13" s="47">
        <v>0</v>
      </c>
      <c r="D13" s="55">
        <v>0</v>
      </c>
      <c r="E13" s="54" t="s">
        <v>593</v>
      </c>
      <c r="F13" s="55">
        <v>0</v>
      </c>
      <c r="G13" s="167" t="s">
        <v>600</v>
      </c>
      <c r="H13" s="390" t="s">
        <v>725</v>
      </c>
    </row>
    <row r="14" spans="1:8" x14ac:dyDescent="0.2">
      <c r="A14" s="391">
        <v>1</v>
      </c>
      <c r="B14" s="48" t="s">
        <v>628</v>
      </c>
      <c r="C14" s="67">
        <v>1</v>
      </c>
      <c r="D14" s="57">
        <v>1</v>
      </c>
      <c r="E14" s="48" t="s">
        <v>594</v>
      </c>
      <c r="F14" s="57">
        <v>1</v>
      </c>
      <c r="G14" s="167" t="s">
        <v>601</v>
      </c>
      <c r="H14" s="390" t="s">
        <v>726</v>
      </c>
    </row>
    <row r="15" spans="1:8" x14ac:dyDescent="0.2">
      <c r="A15" s="391">
        <v>2</v>
      </c>
      <c r="B15" s="48" t="s">
        <v>629</v>
      </c>
      <c r="C15" s="48">
        <v>2</v>
      </c>
      <c r="D15" s="57">
        <v>2</v>
      </c>
      <c r="E15" s="48" t="s">
        <v>595</v>
      </c>
      <c r="F15" s="57">
        <v>2</v>
      </c>
      <c r="G15" s="167" t="s">
        <v>602</v>
      </c>
      <c r="H15" s="390" t="s">
        <v>727</v>
      </c>
    </row>
    <row r="16" spans="1:8" x14ac:dyDescent="0.2">
      <c r="A16" s="391">
        <v>3</v>
      </c>
      <c r="B16" s="48" t="s">
        <v>630</v>
      </c>
      <c r="C16" s="48">
        <v>3</v>
      </c>
      <c r="D16" s="57">
        <v>3</v>
      </c>
      <c r="E16" s="48" t="s">
        <v>596</v>
      </c>
      <c r="F16" s="57">
        <v>3</v>
      </c>
      <c r="G16" s="167" t="s">
        <v>603</v>
      </c>
      <c r="H16" s="390" t="s">
        <v>728</v>
      </c>
    </row>
    <row r="17" spans="1:8" x14ac:dyDescent="0.2">
      <c r="A17" s="391">
        <v>4</v>
      </c>
      <c r="B17" s="48" t="s">
        <v>631</v>
      </c>
      <c r="C17" s="48">
        <v>4</v>
      </c>
      <c r="D17" s="57">
        <v>4</v>
      </c>
      <c r="E17" s="48" t="s">
        <v>597</v>
      </c>
      <c r="F17" s="57">
        <v>4</v>
      </c>
      <c r="G17" s="167" t="s">
        <v>604</v>
      </c>
      <c r="H17" s="390" t="s">
        <v>729</v>
      </c>
    </row>
    <row r="18" spans="1:8" ht="13.5" thickBot="1" x14ac:dyDescent="0.25">
      <c r="A18" s="386">
        <v>5</v>
      </c>
      <c r="B18" s="58" t="s">
        <v>632</v>
      </c>
      <c r="C18" s="50">
        <v>5</v>
      </c>
      <c r="D18" s="59">
        <v>5</v>
      </c>
      <c r="E18" s="58" t="s">
        <v>598</v>
      </c>
      <c r="F18" s="60">
        <v>5</v>
      </c>
      <c r="G18" s="168" t="s">
        <v>605</v>
      </c>
      <c r="H18" s="392" t="s">
        <v>730</v>
      </c>
    </row>
    <row r="19" spans="1:8" ht="20.25" customHeight="1" thickBot="1" x14ac:dyDescent="0.25">
      <c r="A19" s="393" t="s">
        <v>19</v>
      </c>
      <c r="B19" s="395"/>
      <c r="C19" s="396"/>
      <c r="D19" s="396"/>
      <c r="E19" s="395"/>
      <c r="F19" s="396"/>
      <c r="G19" s="397"/>
      <c r="H19" s="398"/>
    </row>
    <row r="20" spans="1:8" x14ac:dyDescent="0.2">
      <c r="A20" s="1"/>
    </row>
    <row r="29" spans="1:8" ht="13.7" customHeight="1" x14ac:dyDescent="0.2"/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  <row r="51" spans="1:8" x14ac:dyDescent="0.2">
      <c r="A51" s="1"/>
      <c r="B51" s="1"/>
      <c r="C51" s="1"/>
      <c r="D51" s="1"/>
      <c r="E51" s="1"/>
      <c r="F51" s="1"/>
      <c r="G51" s="1"/>
      <c r="H51" s="1"/>
    </row>
    <row r="52" spans="1:8" x14ac:dyDescent="0.2">
      <c r="A52" s="1"/>
      <c r="B52" s="1"/>
      <c r="C52" s="1"/>
      <c r="D52" s="1"/>
      <c r="E52" s="1"/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</sheetData>
  <sheetProtection password="D3B7" sheet="1" objects="1" scenarios="1"/>
  <protectedRanges>
    <protectedRange sqref="B12:H12 B19:H19" name="Plage1"/>
  </protectedRanges>
  <mergeCells count="2">
    <mergeCell ref="A6:H6"/>
    <mergeCell ref="C2:G3"/>
  </mergeCells>
  <pageMargins left="0.78749999999999998" right="0.78749999999999998" top="0.98402777777777772" bottom="0.98402777777777772" header="0.51180555555555551" footer="0.51180555555555551"/>
  <pageSetup paperSize="9" scale="80" firstPageNumber="0" orientation="portrait" horizontalDpi="4294967293" verticalDpi="300" r:id="rId1"/>
  <headerFooter alignWithMargins="0">
    <oddFooter>&amp;CDiagnostic de durabilité
Réseau CIVAM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3"/>
  <sheetViews>
    <sheetView zoomScaleNormal="100" zoomScaleSheetLayoutView="100" workbookViewId="0">
      <selection activeCell="A2" sqref="A2"/>
    </sheetView>
  </sheetViews>
  <sheetFormatPr baseColWidth="10" defaultRowHeight="12.75" x14ac:dyDescent="0.2"/>
  <sheetData>
    <row r="1" spans="1:8" ht="57.75" customHeight="1" x14ac:dyDescent="0.3">
      <c r="A1" s="603" t="s">
        <v>32</v>
      </c>
      <c r="B1" s="603"/>
      <c r="C1" s="603"/>
      <c r="D1" s="603"/>
      <c r="E1" s="603"/>
      <c r="F1" s="603"/>
      <c r="G1" s="603"/>
      <c r="H1" s="603"/>
    </row>
    <row r="4" spans="1:8" s="2" customFormat="1" ht="27" x14ac:dyDescent="0.5">
      <c r="A4"/>
      <c r="B4"/>
      <c r="C4"/>
      <c r="D4"/>
      <c r="E4"/>
      <c r="F4"/>
      <c r="G4"/>
      <c r="H4"/>
    </row>
    <row r="6" spans="1:8" x14ac:dyDescent="0.2">
      <c r="F6" s="1"/>
      <c r="G6" s="1"/>
      <c r="H6" s="1"/>
    </row>
    <row r="7" spans="1:8" ht="15.75" x14ac:dyDescent="0.25">
      <c r="F7" s="61"/>
      <c r="G7" s="61"/>
      <c r="H7" s="62"/>
    </row>
    <row r="8" spans="1:8" ht="15.75" x14ac:dyDescent="0.25">
      <c r="F8" s="62"/>
      <c r="G8" s="62"/>
      <c r="H8" s="63"/>
    </row>
    <row r="9" spans="1:8" ht="15.75" x14ac:dyDescent="0.25">
      <c r="F9" s="62"/>
      <c r="G9" s="62"/>
      <c r="H9" s="64"/>
    </row>
    <row r="10" spans="1:8" ht="15.75" x14ac:dyDescent="0.25">
      <c r="F10" s="62"/>
      <c r="G10" s="62"/>
      <c r="H10" s="63"/>
    </row>
    <row r="11" spans="1:8" ht="15.75" x14ac:dyDescent="0.25">
      <c r="F11" s="62"/>
      <c r="G11" s="62"/>
      <c r="H11" s="64"/>
    </row>
    <row r="12" spans="1:8" ht="15.75" x14ac:dyDescent="0.25">
      <c r="F12" s="62"/>
      <c r="G12" s="62"/>
      <c r="H12" s="63"/>
    </row>
    <row r="13" spans="1:8" ht="15.75" x14ac:dyDescent="0.25">
      <c r="F13" s="62"/>
      <c r="G13" s="62"/>
      <c r="H13" s="64"/>
    </row>
    <row r="14" spans="1:8" ht="15.75" x14ac:dyDescent="0.25">
      <c r="F14" s="62"/>
      <c r="G14" s="17"/>
      <c r="H14" s="63"/>
    </row>
    <row r="15" spans="1:8" ht="15" x14ac:dyDescent="0.2">
      <c r="F15" s="1"/>
      <c r="G15" s="1"/>
      <c r="H15" s="64"/>
    </row>
    <row r="16" spans="1:8" x14ac:dyDescent="0.2">
      <c r="F16" s="1"/>
      <c r="G16" s="1"/>
      <c r="H16" s="1"/>
    </row>
    <row r="50" spans="1:7" ht="15.75" x14ac:dyDescent="0.25">
      <c r="A50" s="65" t="s">
        <v>33</v>
      </c>
    </row>
    <row r="53" spans="1:7" x14ac:dyDescent="0.2">
      <c r="B53" s="66"/>
      <c r="C53" s="66"/>
      <c r="D53" s="66"/>
      <c r="E53" s="66"/>
      <c r="F53" s="66"/>
      <c r="G53" s="66"/>
    </row>
  </sheetData>
  <sheetProtection selectLockedCells="1" selectUnlockedCells="1"/>
  <mergeCells count="1">
    <mergeCell ref="A1:H1"/>
  </mergeCells>
  <pageMargins left="0.39374999999999999" right="0.39374999999999999" top="0.78749999999999998" bottom="0.78749999999999998" header="0.51180555555555551" footer="0.51180555555555551"/>
  <pageSetup paperSize="9" firstPageNumber="0" orientation="portrait" horizontalDpi="300" verticalDpi="300" r:id="rId1"/>
  <headerFooter alignWithMargins="0">
    <oddFooter>&amp;CDiagnostic de durabilité du Réseau Agriculture Durable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calcul empreinte foncière</vt:lpstr>
      <vt:lpstr>calcul bilan N</vt:lpstr>
      <vt:lpstr>IFT</vt:lpstr>
      <vt:lpstr>calcul énergies &amp; GES</vt:lpstr>
      <vt:lpstr>économique</vt:lpstr>
      <vt:lpstr>social</vt:lpstr>
      <vt:lpstr>environnement</vt:lpstr>
      <vt:lpstr>commentaires</vt:lpstr>
      <vt:lpstr>IFT!_xlnm_Print_Area</vt:lpstr>
      <vt:lpstr>BV</vt:lpstr>
      <vt:lpstr>'calcul bilan N'!Zone_d_impression</vt:lpstr>
      <vt:lpstr>commentaires!Zone_d_impression</vt:lpstr>
      <vt:lpstr>économique!Zone_d_impression</vt:lpstr>
      <vt:lpstr>environnement!Zone_d_impression</vt:lpstr>
      <vt:lpstr>IFT!Zone_d_impression</vt:lpstr>
      <vt:lpstr>social!Zone_d_impression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Alexis MEYER CIVAM</cp:lastModifiedBy>
  <cp:lastPrinted>2018-10-02T12:30:54Z</cp:lastPrinted>
  <dcterms:created xsi:type="dcterms:W3CDTF">2014-09-19T07:35:49Z</dcterms:created>
  <dcterms:modified xsi:type="dcterms:W3CDTF">2018-11-27T14:30:13Z</dcterms:modified>
</cp:coreProperties>
</file>